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Th Separation\Data\Real matrix tests\"/>
    </mc:Choice>
  </mc:AlternateContent>
  <bookViews>
    <workbookView xWindow="-120" yWindow="-120" windowWidth="29040" windowHeight="15840" activeTab="3"/>
  </bookViews>
  <sheets>
    <sheet name="quick sr calcs" sheetId="1" r:id="rId1"/>
    <sheet name="Blk" sheetId="3" r:id="rId2"/>
    <sheet name="Sr-90 clean solution" sheetId="2" r:id="rId3"/>
    <sheet name="QT1" sheetId="4" r:id="rId4"/>
    <sheet name="QT2" sheetId="6" r:id="rId5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D12" i="4" l="1"/>
  <c r="E16" i="2" l="1"/>
  <c r="AD12" i="2"/>
  <c r="O2" i="2" l="1"/>
  <c r="P2" i="3"/>
  <c r="L2" i="3"/>
  <c r="L3" i="3"/>
  <c r="L4" i="3"/>
  <c r="L5" i="3"/>
  <c r="L6" i="3"/>
  <c r="L7" i="3"/>
  <c r="L8" i="3"/>
  <c r="I2" i="2" l="1"/>
  <c r="I3" i="2"/>
  <c r="I4" i="2"/>
  <c r="I5" i="2"/>
  <c r="I6" i="2"/>
  <c r="I7" i="2"/>
  <c r="I8" i="2"/>
  <c r="AF3" i="2" l="1"/>
  <c r="AG3" i="2" s="1"/>
  <c r="AF4" i="2"/>
  <c r="AG4" i="2" s="1"/>
  <c r="AF5" i="2"/>
  <c r="AG5" i="2" s="1"/>
  <c r="AF6" i="2"/>
  <c r="AG6" i="2" s="1"/>
  <c r="AF7" i="2"/>
  <c r="AG7" i="2" s="1"/>
  <c r="AF8" i="2"/>
  <c r="AG8" i="2" s="1"/>
  <c r="AF2" i="2"/>
  <c r="AG2" i="2" s="1"/>
  <c r="AA26" i="2"/>
  <c r="AA29" i="2" s="1"/>
  <c r="V38" i="6"/>
  <c r="P7" i="6"/>
  <c r="O7" i="6"/>
  <c r="K7" i="6"/>
  <c r="I7" i="6"/>
  <c r="P6" i="6"/>
  <c r="O6" i="6"/>
  <c r="R6" i="6" s="1"/>
  <c r="K6" i="6"/>
  <c r="I6" i="6"/>
  <c r="P5" i="6"/>
  <c r="O5" i="6"/>
  <c r="K5" i="6"/>
  <c r="I5" i="6"/>
  <c r="P4" i="6"/>
  <c r="O4" i="6"/>
  <c r="K4" i="6"/>
  <c r="L4" i="6" s="1"/>
  <c r="M4" i="6" s="1"/>
  <c r="Y4" i="6" s="1"/>
  <c r="I4" i="6"/>
  <c r="P3" i="6"/>
  <c r="O3" i="6"/>
  <c r="R3" i="6" s="1"/>
  <c r="K3" i="6"/>
  <c r="I3" i="6"/>
  <c r="P2" i="6"/>
  <c r="O2" i="6"/>
  <c r="R2" i="6" s="1"/>
  <c r="K2" i="6"/>
  <c r="I2" i="6"/>
  <c r="I7" i="4"/>
  <c r="I6" i="4"/>
  <c r="I5" i="4"/>
  <c r="I4" i="4"/>
  <c r="I3" i="4"/>
  <c r="I2" i="4"/>
  <c r="O7" i="4"/>
  <c r="K7" i="4"/>
  <c r="O6" i="4"/>
  <c r="K6" i="4"/>
  <c r="L6" i="4" s="1"/>
  <c r="M6" i="4" s="1"/>
  <c r="Y6" i="4" s="1"/>
  <c r="O5" i="4"/>
  <c r="K5" i="4"/>
  <c r="O4" i="4"/>
  <c r="K4" i="4"/>
  <c r="O3" i="4"/>
  <c r="K3" i="4"/>
  <c r="O2" i="4"/>
  <c r="K2" i="4"/>
  <c r="P8" i="3"/>
  <c r="J8" i="3"/>
  <c r="P7" i="3"/>
  <c r="J7" i="3"/>
  <c r="P6" i="3"/>
  <c r="J6" i="3"/>
  <c r="M6" i="3" s="1"/>
  <c r="N6" i="3" s="1"/>
  <c r="Z6" i="3" s="1"/>
  <c r="P5" i="3"/>
  <c r="R5" i="3" s="1"/>
  <c r="J5" i="3"/>
  <c r="P4" i="3"/>
  <c r="J4" i="3"/>
  <c r="M4" i="3" s="1"/>
  <c r="N4" i="3" s="1"/>
  <c r="Z4" i="3" s="1"/>
  <c r="P3" i="3"/>
  <c r="R3" i="3" s="1"/>
  <c r="J3" i="3"/>
  <c r="J2" i="3"/>
  <c r="M2" i="3" s="1"/>
  <c r="N2" i="3" s="1"/>
  <c r="O4" i="2"/>
  <c r="T4" i="2" s="1"/>
  <c r="O5" i="2"/>
  <c r="T5" i="2" s="1"/>
  <c r="O6" i="2"/>
  <c r="O7" i="2"/>
  <c r="O8" i="2"/>
  <c r="T8" i="2" s="1"/>
  <c r="K3" i="2"/>
  <c r="K4" i="2"/>
  <c r="K5" i="2"/>
  <c r="K6" i="2"/>
  <c r="K7" i="2"/>
  <c r="K8" i="2"/>
  <c r="L4" i="2"/>
  <c r="M4" i="2" s="1"/>
  <c r="Y4" i="2" s="1"/>
  <c r="O3" i="2"/>
  <c r="K2" i="2"/>
  <c r="O36" i="1"/>
  <c r="O37" i="1" s="1"/>
  <c r="O38" i="1" s="1"/>
  <c r="V36" i="1"/>
  <c r="V37" i="1" s="1"/>
  <c r="V38" i="1" s="1"/>
  <c r="Q36" i="1"/>
  <c r="L2" i="2" l="1"/>
  <c r="M2" i="2" s="1"/>
  <c r="Y2" i="2" s="1"/>
  <c r="T2" i="2"/>
  <c r="T2" i="6"/>
  <c r="U2" i="6" s="1"/>
  <c r="T3" i="6"/>
  <c r="U3" i="6" s="1"/>
  <c r="Z3" i="6" s="1"/>
  <c r="T6" i="6"/>
  <c r="U6" i="6" s="1"/>
  <c r="T7" i="2"/>
  <c r="T3" i="2"/>
  <c r="S36" i="1"/>
  <c r="S37" i="1" s="1"/>
  <c r="S38" i="1" s="1"/>
  <c r="S39" i="1" s="1"/>
  <c r="V34" i="1" s="1"/>
  <c r="V39" i="1" s="1"/>
  <c r="T6" i="2"/>
  <c r="L3" i="6"/>
  <c r="M3" i="6" s="1"/>
  <c r="Y3" i="6" s="1"/>
  <c r="L5" i="6"/>
  <c r="M5" i="6" s="1"/>
  <c r="Y5" i="6" s="1"/>
  <c r="L6" i="6"/>
  <c r="M6" i="6" s="1"/>
  <c r="Y6" i="6" s="1"/>
  <c r="Z6" i="6" s="1"/>
  <c r="Z2" i="3"/>
  <c r="M7" i="3"/>
  <c r="N7" i="3" s="1"/>
  <c r="Z7" i="3" s="1"/>
  <c r="AA7" i="2" s="1"/>
  <c r="AA3" i="4"/>
  <c r="AA3" i="6"/>
  <c r="AC3" i="6" s="1"/>
  <c r="AA4" i="2"/>
  <c r="AC4" i="2" s="1"/>
  <c r="AH4" i="2" s="1"/>
  <c r="AA6" i="4"/>
  <c r="AC6" i="4" s="1"/>
  <c r="AA5" i="6"/>
  <c r="AC5" i="6" s="1"/>
  <c r="AA5" i="4"/>
  <c r="L6" i="2"/>
  <c r="M6" i="2" s="1"/>
  <c r="Y6" i="2" s="1"/>
  <c r="M8" i="3"/>
  <c r="N8" i="3" s="1"/>
  <c r="Z8" i="3" s="1"/>
  <c r="AA8" i="2" s="1"/>
  <c r="R4" i="6"/>
  <c r="T4" i="6" s="1"/>
  <c r="U4" i="6" s="1"/>
  <c r="R5" i="6"/>
  <c r="T5" i="6" s="1"/>
  <c r="U5" i="6" s="1"/>
  <c r="Z5" i="6" s="1"/>
  <c r="L7" i="6"/>
  <c r="M7" i="6" s="1"/>
  <c r="Y7" i="6" s="1"/>
  <c r="Q37" i="1"/>
  <c r="Q38" i="1" s="1"/>
  <c r="Q39" i="1" s="1"/>
  <c r="U2" i="2"/>
  <c r="Z2" i="2" s="1"/>
  <c r="L5" i="2"/>
  <c r="M5" i="2" s="1"/>
  <c r="Y5" i="2" s="1"/>
  <c r="U4" i="2"/>
  <c r="Z4" i="2" s="1"/>
  <c r="R2" i="3"/>
  <c r="T2" i="3" s="1"/>
  <c r="U2" i="3" s="1"/>
  <c r="R4" i="3"/>
  <c r="T4" i="3" s="1"/>
  <c r="U4" i="3" s="1"/>
  <c r="AA4" i="3" s="1"/>
  <c r="R6" i="3"/>
  <c r="T6" i="3" s="1"/>
  <c r="U6" i="3" s="1"/>
  <c r="AA6" i="3" s="1"/>
  <c r="L2" i="6"/>
  <c r="M2" i="6" s="1"/>
  <c r="Y2" i="6" s="1"/>
  <c r="R7" i="6"/>
  <c r="T7" i="6" s="1"/>
  <c r="U7" i="6" s="1"/>
  <c r="Z2" i="6"/>
  <c r="Z4" i="6"/>
  <c r="L5" i="4"/>
  <c r="M5" i="4" s="1"/>
  <c r="Y5" i="4" s="1"/>
  <c r="R4" i="4"/>
  <c r="T4" i="4" s="1"/>
  <c r="U4" i="4" s="1"/>
  <c r="L2" i="4"/>
  <c r="M2" i="4" s="1"/>
  <c r="Y2" i="4" s="1"/>
  <c r="R2" i="4"/>
  <c r="T2" i="4" s="1"/>
  <c r="U2" i="4" s="1"/>
  <c r="R6" i="4"/>
  <c r="T6" i="4" s="1"/>
  <c r="U6" i="4" s="1"/>
  <c r="Z6" i="4" s="1"/>
  <c r="AD6" i="4" s="1"/>
  <c r="L7" i="4"/>
  <c r="M7" i="4" s="1"/>
  <c r="Y7" i="4" s="1"/>
  <c r="R5" i="4"/>
  <c r="T5" i="4" s="1"/>
  <c r="U5" i="4" s="1"/>
  <c r="R3" i="4"/>
  <c r="T3" i="4" s="1"/>
  <c r="U3" i="4" s="1"/>
  <c r="L3" i="4"/>
  <c r="M3" i="4" s="1"/>
  <c r="Y3" i="4" s="1"/>
  <c r="AC3" i="4" s="1"/>
  <c r="L4" i="4"/>
  <c r="M4" i="4" s="1"/>
  <c r="Y4" i="4" s="1"/>
  <c r="R7" i="4"/>
  <c r="T7" i="4" s="1"/>
  <c r="U7" i="4" s="1"/>
  <c r="U3" i="2"/>
  <c r="L3" i="2"/>
  <c r="M3" i="2" s="1"/>
  <c r="Y3" i="2" s="1"/>
  <c r="L7" i="2"/>
  <c r="M7" i="2" s="1"/>
  <c r="Y7" i="2" s="1"/>
  <c r="U5" i="2"/>
  <c r="AA6" i="2"/>
  <c r="AA2" i="2"/>
  <c r="AC2" i="2" s="1"/>
  <c r="R8" i="3"/>
  <c r="T8" i="3" s="1"/>
  <c r="U8" i="3" s="1"/>
  <c r="AA8" i="3" s="1"/>
  <c r="R7" i="3"/>
  <c r="T7" i="3" s="1"/>
  <c r="U7" i="3" s="1"/>
  <c r="M5" i="3"/>
  <c r="N5" i="3" s="1"/>
  <c r="Z5" i="3" s="1"/>
  <c r="T5" i="3"/>
  <c r="U5" i="3" s="1"/>
  <c r="M3" i="3"/>
  <c r="N3" i="3" s="1"/>
  <c r="Z3" i="3" s="1"/>
  <c r="AA3" i="2" s="1"/>
  <c r="T3" i="3"/>
  <c r="U3" i="3" s="1"/>
  <c r="U8" i="2"/>
  <c r="L8" i="2"/>
  <c r="M8" i="2" s="1"/>
  <c r="Y8" i="2" s="1"/>
  <c r="U7" i="2"/>
  <c r="U6" i="2"/>
  <c r="Z6" i="2" s="1"/>
  <c r="B37" i="1"/>
  <c r="B39" i="1" s="1"/>
  <c r="Z5" i="2" l="1"/>
  <c r="Z5" i="4"/>
  <c r="AD5" i="4" s="1"/>
  <c r="AA7" i="3"/>
  <c r="AA6" i="6"/>
  <c r="AC6" i="6" s="1"/>
  <c r="AA2" i="3"/>
  <c r="AD2" i="2" s="1"/>
  <c r="Z4" i="4"/>
  <c r="AD4" i="4" s="1"/>
  <c r="Z3" i="2"/>
  <c r="AC3" i="2"/>
  <c r="AH3" i="2" s="1"/>
  <c r="AD6" i="2"/>
  <c r="AC5" i="4"/>
  <c r="AA4" i="6"/>
  <c r="AC4" i="6" s="1"/>
  <c r="AA4" i="4"/>
  <c r="AC4" i="4" s="1"/>
  <c r="AC6" i="2"/>
  <c r="AH6" i="2" s="1"/>
  <c r="AA5" i="3"/>
  <c r="AD5" i="2" s="1"/>
  <c r="AA2" i="6"/>
  <c r="AC2" i="6" s="1"/>
  <c r="AA2" i="4"/>
  <c r="AC2" i="4" s="1"/>
  <c r="AA5" i="2"/>
  <c r="AC5" i="2" s="1"/>
  <c r="AH5" i="2" s="1"/>
  <c r="AA3" i="3"/>
  <c r="Z7" i="6"/>
  <c r="AD4" i="2"/>
  <c r="AH2" i="2"/>
  <c r="AA7" i="4"/>
  <c r="AC7" i="4" s="1"/>
  <c r="AA7" i="6"/>
  <c r="AC7" i="6" s="1"/>
  <c r="Z3" i="4"/>
  <c r="AD3" i="4" s="1"/>
  <c r="Z2" i="4"/>
  <c r="AD2" i="4" s="1"/>
  <c r="Z7" i="4"/>
  <c r="AD7" i="4" s="1"/>
  <c r="AC8" i="2"/>
  <c r="AH8" i="2" s="1"/>
  <c r="Z8" i="2"/>
  <c r="AD8" i="2" s="1"/>
  <c r="Z7" i="2"/>
  <c r="AC7" i="2"/>
  <c r="AH7" i="2" s="1"/>
  <c r="F4" i="1"/>
  <c r="F9" i="1" s="1"/>
  <c r="B30" i="1"/>
  <c r="B32" i="1" s="1"/>
  <c r="B20" i="1"/>
  <c r="B4" i="1"/>
  <c r="B9" i="1" s="1"/>
  <c r="B13" i="1" s="1"/>
  <c r="AD3" i="2" l="1"/>
  <c r="AC10" i="6"/>
  <c r="AD7" i="2"/>
  <c r="AC10" i="4"/>
  <c r="AC10" i="2"/>
  <c r="D16" i="2" s="1"/>
  <c r="D16" i="4" s="1"/>
  <c r="E16" i="4" s="1"/>
  <c r="B33" i="1"/>
  <c r="B22" i="1"/>
  <c r="B23" i="1" s="1"/>
  <c r="AD10" i="4"/>
  <c r="AD10" i="2" l="1"/>
  <c r="B27" i="1"/>
  <c r="B42" i="1"/>
  <c r="B43" i="1" s="1"/>
  <c r="B35" i="1"/>
  <c r="D16" i="6"/>
  <c r="D18" i="6" s="1"/>
  <c r="D18" i="4" l="1"/>
  <c r="E18" i="4" s="1"/>
</calcChain>
</file>

<file path=xl/sharedStrings.xml><?xml version="1.0" encoding="utf-8"?>
<sst xmlns="http://schemas.openxmlformats.org/spreadsheetml/2006/main" count="180" uniqueCount="86">
  <si>
    <t>Calibration test</t>
  </si>
  <si>
    <t>Mass of RAM1591 added =</t>
  </si>
  <si>
    <t>Sr 85</t>
  </si>
  <si>
    <t>All DC to 30.03.21</t>
  </si>
  <si>
    <t>Sr fraction</t>
  </si>
  <si>
    <t>Activity conc of 1591 =</t>
  </si>
  <si>
    <t>Mass RAM 1591 added =</t>
  </si>
  <si>
    <t>Activity added =</t>
  </si>
  <si>
    <t>Sample</t>
  </si>
  <si>
    <t>Activity measured</t>
  </si>
  <si>
    <t>Activity measured =</t>
  </si>
  <si>
    <t xml:space="preserve">recovery = </t>
  </si>
  <si>
    <t>Sr 90 data</t>
  </si>
  <si>
    <t>Mass RAM 1595 added =</t>
  </si>
  <si>
    <t xml:space="preserve">Efficiency of Q3 = </t>
  </si>
  <si>
    <t>actual activity of calib =</t>
  </si>
  <si>
    <t>activity added =</t>
  </si>
  <si>
    <t>Efficiency of Q3 =</t>
  </si>
  <si>
    <t>Actual activity of Sr fraction =</t>
  </si>
  <si>
    <t>Sr-85 recovery corrected Sr-90 =</t>
  </si>
  <si>
    <t>% recovery of Sr-90 =</t>
  </si>
  <si>
    <t>Uncert</t>
  </si>
  <si>
    <t>efficiency for Q3</t>
  </si>
  <si>
    <t>actual activity =</t>
  </si>
  <si>
    <t xml:space="preserve">mass aded = </t>
  </si>
  <si>
    <t>% of original =</t>
  </si>
  <si>
    <t xml:space="preserve">C2 activity determined from Sr calib test Test </t>
  </si>
  <si>
    <t>Activity conc of 1595 (Bq/g) =</t>
  </si>
  <si>
    <t>Quench test 1 =</t>
  </si>
  <si>
    <t>blk</t>
  </si>
  <si>
    <t>counts</t>
  </si>
  <si>
    <t>blk corr</t>
  </si>
  <si>
    <t>cpm</t>
  </si>
  <si>
    <t>bq</t>
  </si>
  <si>
    <t>eff corr</t>
  </si>
  <si>
    <t>bq/g</t>
  </si>
  <si>
    <t>recov</t>
  </si>
  <si>
    <t>activity added</t>
  </si>
  <si>
    <t>σ rel blk</t>
  </si>
  <si>
    <t>blk window 1</t>
  </si>
  <si>
    <t>Label</t>
  </si>
  <si>
    <t>SrT Test</t>
  </si>
  <si>
    <t>CPM1</t>
  </si>
  <si>
    <t>CPM1 %</t>
  </si>
  <si>
    <t>CPM2</t>
  </si>
  <si>
    <t>Counts1</t>
  </si>
  <si>
    <t>Counts2</t>
  </si>
  <si>
    <t>CPM2 %</t>
  </si>
  <si>
    <t>Total counts</t>
  </si>
  <si>
    <t>Date</t>
  </si>
  <si>
    <t>CPM</t>
  </si>
  <si>
    <t>Live time (mins)</t>
  </si>
  <si>
    <t>σCPM1</t>
  </si>
  <si>
    <t>σCPM2</t>
  </si>
  <si>
    <t>σtotal counts</t>
  </si>
  <si>
    <t>σCPM</t>
  </si>
  <si>
    <t>Bq</t>
  </si>
  <si>
    <t>σBq</t>
  </si>
  <si>
    <t xml:space="preserve">Quantalus </t>
  </si>
  <si>
    <t>Count efficiency</t>
  </si>
  <si>
    <t>Blk</t>
  </si>
  <si>
    <t>Blk activity</t>
  </si>
  <si>
    <t>Efficiency corr activity (bq)</t>
  </si>
  <si>
    <t>Blk corrected</t>
  </si>
  <si>
    <t>σ efficiency</t>
  </si>
  <si>
    <t>σ efficiency corr activity</t>
  </si>
  <si>
    <r>
      <rPr>
        <sz val="11"/>
        <color theme="1"/>
        <rFont val="Calibri"/>
        <family val="2"/>
        <scheme val="minor"/>
      </rPr>
      <t>σ blk corrected</t>
    </r>
  </si>
  <si>
    <t>Mass of Sr-90 standard used</t>
  </si>
  <si>
    <t>avg</t>
  </si>
  <si>
    <t>QT1</t>
  </si>
  <si>
    <t xml:space="preserve">avg </t>
  </si>
  <si>
    <t>Activity used (Bq)</t>
  </si>
  <si>
    <t>Quench effect</t>
  </si>
  <si>
    <t>σ</t>
  </si>
  <si>
    <t>Activity conc of standard (bq/g)</t>
  </si>
  <si>
    <t>σ blk activity</t>
  </si>
  <si>
    <t>Decay corrected</t>
  </si>
  <si>
    <t>years</t>
  </si>
  <si>
    <t>seconds</t>
  </si>
  <si>
    <t>Days since 1st measure</t>
  </si>
  <si>
    <t>Secs since 1st measure</t>
  </si>
  <si>
    <t>Sr-90 t1/2</t>
  </si>
  <si>
    <t>Sr-90 descay constant</t>
  </si>
  <si>
    <t>σCounts1</t>
  </si>
  <si>
    <t>Stdev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</si>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</sst>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1" fillId="0" borderId="0" xfId="0" applyFont="1"/>
    <xf numFmtId="47" fontId="0" fillId="0" borderId="0" xfId="0" applyNumberFormat="1"/>
    <xf numFmtId="14" fontId="0" fillId="0" borderId="0" xfId="0" applyNumberFormat="1"/>
    <xf numFmtId="0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1" xfId="0" applyNumberFormat="1" applyBorder="1"/>
    <xf numFmtId="0" fontId="0" fillId="0" borderId="3" xfId="0" applyBorder="1"/>
    <xf numFmtId="14" fontId="0" fillId="0" borderId="3" xfId="0" applyNumberFormat="1" applyBorder="1"/>
    <xf numFmtId="0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1" fillId="0" borderId="5" xfId="0" applyFont="1" applyBorder="1"/>
    <xf numFmtId="0" fontId="0" fillId="0" borderId="6" xfId="0" applyBorder="1"/>
    <xf numFmtId="0" fontId="0" fillId="0" borderId="7" xfId="0" applyFont="1" applyFill="1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1" fillId="0" borderId="2" xfId="0" applyFont="1" applyFill="1" applyBorder="1"/>
    <xf numFmtId="0" fontId="0" fillId="0" borderId="10" xfId="0" applyBorder="1"/>
    <xf numFmtId="0" fontId="0" fillId="0" borderId="11" xfId="0" applyBorder="1"/>
    <xf numFmtId="0" fontId="0" fillId="0" borderId="0" xfId="0" applyFont="1" applyFill="1" applyBorder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topLeftCell="A10" workbookViewId="0">
      <selection activeCell="B20" sqref="B20"/>
    </sheetView>
  </sheetViews>
  <sheetFormatPr defaultRowHeight="15" x14ac:dyDescent="0.25"/>
  <cols>
    <col min="1" max="1" width="29.28515625" bestFit="1" customWidth="1"/>
    <col min="4" max="4" width="17" customWidth="1"/>
    <col min="11" max="11" width="12.7109375" bestFit="1" customWidth="1"/>
    <col min="21" max="21" width="13.5703125" bestFit="1" customWidth="1"/>
  </cols>
  <sheetData>
    <row r="1" spans="1:10" x14ac:dyDescent="0.25">
      <c r="A1" s="2" t="s">
        <v>0</v>
      </c>
      <c r="B1" s="2" t="s">
        <v>2</v>
      </c>
      <c r="C1" s="2"/>
      <c r="D1" s="2" t="s">
        <v>3</v>
      </c>
      <c r="E1" s="2"/>
      <c r="F1" s="2" t="s">
        <v>21</v>
      </c>
    </row>
    <row r="2" spans="1:10" x14ac:dyDescent="0.25">
      <c r="A2" s="2" t="s">
        <v>1</v>
      </c>
      <c r="B2" s="2">
        <v>1.0107999999999999</v>
      </c>
      <c r="C2" s="2"/>
      <c r="D2" s="2"/>
      <c r="E2" s="2"/>
      <c r="F2" s="2">
        <v>1E-4</v>
      </c>
    </row>
    <row r="3" spans="1:10" x14ac:dyDescent="0.25">
      <c r="A3" s="2" t="s">
        <v>9</v>
      </c>
      <c r="B3" s="2">
        <v>10.15</v>
      </c>
      <c r="C3" s="2"/>
      <c r="D3" s="2"/>
      <c r="E3" s="2"/>
      <c r="F3" s="2">
        <v>0.61</v>
      </c>
    </row>
    <row r="4" spans="1:10" x14ac:dyDescent="0.25">
      <c r="A4" s="2" t="s">
        <v>5</v>
      </c>
      <c r="B4" s="2">
        <f>B3/B2</f>
        <v>10.041551246537397</v>
      </c>
      <c r="C4" s="2"/>
      <c r="D4" s="2"/>
      <c r="E4" s="2"/>
      <c r="F4" s="2">
        <f>F3/F2</f>
        <v>6100</v>
      </c>
    </row>
    <row r="7" spans="1:10" x14ac:dyDescent="0.25">
      <c r="A7" s="1" t="s">
        <v>8</v>
      </c>
      <c r="B7" s="1"/>
      <c r="C7" s="1"/>
      <c r="D7" s="1"/>
      <c r="E7" s="1"/>
      <c r="F7" s="1"/>
    </row>
    <row r="8" spans="1:10" x14ac:dyDescent="0.25">
      <c r="A8" s="1" t="s">
        <v>6</v>
      </c>
      <c r="B8" s="1">
        <v>1.014</v>
      </c>
      <c r="C8" s="1"/>
      <c r="D8" s="1"/>
      <c r="E8" s="1"/>
      <c r="F8" s="1">
        <v>1E-4</v>
      </c>
    </row>
    <row r="9" spans="1:10" x14ac:dyDescent="0.25">
      <c r="A9" s="1" t="s">
        <v>7</v>
      </c>
      <c r="B9" s="1">
        <f>B8*B4</f>
        <v>10.18213296398892</v>
      </c>
      <c r="C9" s="1"/>
      <c r="D9" s="1"/>
      <c r="E9" s="1"/>
      <c r="F9" s="1">
        <f>F8*F4</f>
        <v>0.61</v>
      </c>
    </row>
    <row r="10" spans="1:10" x14ac:dyDescent="0.25">
      <c r="A10" s="1"/>
      <c r="B10" s="1"/>
      <c r="C10" s="1"/>
      <c r="D10" s="1"/>
      <c r="E10" s="1"/>
      <c r="F10" s="1"/>
    </row>
    <row r="11" spans="1:10" x14ac:dyDescent="0.25">
      <c r="A11" s="1" t="s">
        <v>4</v>
      </c>
      <c r="B11" s="1"/>
      <c r="C11" s="1"/>
      <c r="D11" s="1"/>
      <c r="E11" s="1"/>
      <c r="F11" s="1"/>
    </row>
    <row r="12" spans="1:10" x14ac:dyDescent="0.25">
      <c r="A12" s="1" t="s">
        <v>10</v>
      </c>
      <c r="B12" s="1">
        <v>7.8</v>
      </c>
      <c r="C12" s="1"/>
      <c r="D12" s="1"/>
      <c r="E12" s="1"/>
      <c r="F12" s="1"/>
    </row>
    <row r="13" spans="1:10" x14ac:dyDescent="0.25">
      <c r="A13" s="1" t="s">
        <v>11</v>
      </c>
      <c r="B13" s="1">
        <f>B12/B9</f>
        <v>0.76604774535809017</v>
      </c>
      <c r="C13" s="1"/>
      <c r="D13" s="1"/>
      <c r="E13" s="1"/>
      <c r="F13" s="1"/>
    </row>
    <row r="16" spans="1:10" x14ac:dyDescent="0.25">
      <c r="A16" t="s">
        <v>12</v>
      </c>
      <c r="E16" s="26" t="s">
        <v>26</v>
      </c>
      <c r="F16" s="26"/>
      <c r="G16" s="26"/>
      <c r="H16" s="26"/>
      <c r="I16" s="26"/>
      <c r="J16" s="26"/>
    </row>
    <row r="17" spans="1:10" x14ac:dyDescent="0.25">
      <c r="E17" s="26"/>
      <c r="F17" s="26"/>
      <c r="G17" s="26"/>
      <c r="H17" s="26"/>
      <c r="I17" s="26"/>
      <c r="J17" s="26"/>
    </row>
    <row r="18" spans="1:10" x14ac:dyDescent="0.25">
      <c r="A18" s="2" t="s">
        <v>0</v>
      </c>
      <c r="B18" s="2"/>
      <c r="E18" s="26"/>
      <c r="F18" s="26"/>
      <c r="G18" s="26"/>
      <c r="H18" s="26"/>
      <c r="I18" s="26"/>
      <c r="J18" s="26"/>
    </row>
    <row r="19" spans="1:10" x14ac:dyDescent="0.25">
      <c r="A19" s="2" t="s">
        <v>13</v>
      </c>
      <c r="B19" s="2">
        <v>0.1027</v>
      </c>
      <c r="E19" s="26"/>
      <c r="F19" s="26"/>
      <c r="G19" s="26"/>
      <c r="H19" s="26"/>
      <c r="I19" s="26"/>
      <c r="J19" s="26"/>
    </row>
    <row r="20" spans="1:10" x14ac:dyDescent="0.25">
      <c r="A20" s="2" t="s">
        <v>10</v>
      </c>
      <c r="B20" s="2">
        <f>439.29/60</f>
        <v>7.3215000000000003</v>
      </c>
      <c r="E20" s="26"/>
      <c r="F20" s="26"/>
      <c r="G20" s="26"/>
      <c r="H20" s="26"/>
      <c r="I20" s="26"/>
      <c r="J20" s="26"/>
    </row>
    <row r="21" spans="1:10" x14ac:dyDescent="0.25">
      <c r="A21" s="2" t="s">
        <v>14</v>
      </c>
      <c r="B21" s="2">
        <v>72.900000000000006</v>
      </c>
      <c r="E21" s="26"/>
      <c r="F21" s="26"/>
      <c r="G21" s="26"/>
      <c r="H21" s="26"/>
      <c r="I21" s="26"/>
      <c r="J21" s="26"/>
    </row>
    <row r="22" spans="1:10" x14ac:dyDescent="0.25">
      <c r="A22" s="2" t="s">
        <v>15</v>
      </c>
      <c r="B22" s="2">
        <f>B20/(B21/100)</f>
        <v>10.043209876543209</v>
      </c>
    </row>
    <row r="23" spans="1:10" x14ac:dyDescent="0.25">
      <c r="A23" s="2" t="s">
        <v>27</v>
      </c>
      <c r="B23" s="2">
        <f>B22/B19</f>
        <v>97.791722264296098</v>
      </c>
    </row>
    <row r="25" spans="1:10" x14ac:dyDescent="0.25">
      <c r="A25" s="1" t="s">
        <v>8</v>
      </c>
      <c r="B25" s="1"/>
    </row>
    <row r="26" spans="1:10" x14ac:dyDescent="0.25">
      <c r="A26" s="1" t="s">
        <v>13</v>
      </c>
      <c r="B26" s="1">
        <v>0.10290000000000001</v>
      </c>
    </row>
    <row r="27" spans="1:10" x14ac:dyDescent="0.25">
      <c r="A27" s="1" t="s">
        <v>16</v>
      </c>
      <c r="B27" s="1">
        <f>B26*B23</f>
        <v>10.06276822099607</v>
      </c>
    </row>
    <row r="28" spans="1:10" x14ac:dyDescent="0.25">
      <c r="A28" s="1"/>
      <c r="B28" s="1"/>
    </row>
    <row r="29" spans="1:10" x14ac:dyDescent="0.25">
      <c r="A29" s="1" t="s">
        <v>4</v>
      </c>
      <c r="B29" s="1"/>
    </row>
    <row r="30" spans="1:10" x14ac:dyDescent="0.25">
      <c r="A30" s="1" t="s">
        <v>10</v>
      </c>
      <c r="B30" s="1">
        <f>301.24/60</f>
        <v>5.0206666666666671</v>
      </c>
    </row>
    <row r="31" spans="1:10" x14ac:dyDescent="0.25">
      <c r="A31" s="1" t="s">
        <v>17</v>
      </c>
      <c r="B31" s="1">
        <v>72.900000000000006</v>
      </c>
    </row>
    <row r="32" spans="1:10" x14ac:dyDescent="0.25">
      <c r="A32" s="1" t="s">
        <v>18</v>
      </c>
      <c r="B32" s="1">
        <f>B30/(B31/100)</f>
        <v>6.8870598994055783</v>
      </c>
    </row>
    <row r="33" spans="1:22" x14ac:dyDescent="0.25">
      <c r="A33" s="1" t="s">
        <v>19</v>
      </c>
      <c r="B33" s="1">
        <f>B32/B13</f>
        <v>8.9903794393209946</v>
      </c>
    </row>
    <row r="34" spans="1:22" x14ac:dyDescent="0.25">
      <c r="U34" t="s">
        <v>37</v>
      </c>
      <c r="V34">
        <f>S39*B41</f>
        <v>10.071729957805909</v>
      </c>
    </row>
    <row r="35" spans="1:22" x14ac:dyDescent="0.25">
      <c r="A35" t="s">
        <v>20</v>
      </c>
      <c r="B35">
        <f>B33/B27*100</f>
        <v>89.34300424969021</v>
      </c>
      <c r="O35" t="s">
        <v>29</v>
      </c>
      <c r="P35" s="4" t="s">
        <v>38</v>
      </c>
      <c r="Q35" t="s">
        <v>30</v>
      </c>
      <c r="S35" t="s">
        <v>31</v>
      </c>
    </row>
    <row r="36" spans="1:22" x14ac:dyDescent="0.25">
      <c r="M36" t="s">
        <v>32</v>
      </c>
      <c r="O36">
        <f>1.34+15.31</f>
        <v>16.650000000000002</v>
      </c>
      <c r="Q36">
        <f>448.55+19.46</f>
        <v>468.01</v>
      </c>
      <c r="S36">
        <f>Q36-O36</f>
        <v>451.36</v>
      </c>
      <c r="V36">
        <f>372+14.48</f>
        <v>386.48</v>
      </c>
    </row>
    <row r="37" spans="1:22" x14ac:dyDescent="0.25">
      <c r="A37" s="3" t="s">
        <v>28</v>
      </c>
      <c r="B37" s="3">
        <f>381.39/60</f>
        <v>6.3564999999999996</v>
      </c>
      <c r="M37" t="s">
        <v>33</v>
      </c>
      <c r="O37">
        <f>O36/60</f>
        <v>0.27750000000000002</v>
      </c>
      <c r="Q37">
        <f>Q36/60</f>
        <v>7.8001666666666667</v>
      </c>
      <c r="S37">
        <f>S36/60</f>
        <v>7.5226666666666668</v>
      </c>
      <c r="V37">
        <f>V36/60</f>
        <v>6.4413333333333336</v>
      </c>
    </row>
    <row r="38" spans="1:22" x14ac:dyDescent="0.25">
      <c r="A38" s="3" t="s">
        <v>22</v>
      </c>
      <c r="B38" s="3">
        <v>72.900000000000006</v>
      </c>
      <c r="M38" t="s">
        <v>34</v>
      </c>
      <c r="O38">
        <f>O37/0.72</f>
        <v>0.38541666666666674</v>
      </c>
      <c r="Q38">
        <f>Q37/0.72</f>
        <v>10.833564814814816</v>
      </c>
      <c r="S38">
        <f>S37/0.72</f>
        <v>10.44814814814815</v>
      </c>
      <c r="V38">
        <f>V37/0.729</f>
        <v>8.8358481938728861</v>
      </c>
    </row>
    <row r="39" spans="1:22" x14ac:dyDescent="0.25">
      <c r="A39" s="3" t="s">
        <v>23</v>
      </c>
      <c r="B39" s="3">
        <f>B37/(B38/100)</f>
        <v>8.7194787379972549</v>
      </c>
      <c r="M39" t="s">
        <v>35</v>
      </c>
      <c r="Q39">
        <f>Q38/B19</f>
        <v>105.48748602546071</v>
      </c>
      <c r="S39">
        <f>S38/B19</f>
        <v>101.73464603844351</v>
      </c>
      <c r="U39" t="s">
        <v>36</v>
      </c>
      <c r="V39">
        <f>V38/V34</f>
        <v>0.87729200751900871</v>
      </c>
    </row>
    <row r="40" spans="1:22" x14ac:dyDescent="0.25">
      <c r="A40" s="3"/>
      <c r="B40" s="3"/>
    </row>
    <row r="41" spans="1:22" x14ac:dyDescent="0.25">
      <c r="A41" s="3" t="s">
        <v>24</v>
      </c>
      <c r="B41" s="3">
        <v>9.9000000000000005E-2</v>
      </c>
    </row>
    <row r="42" spans="1:22" x14ac:dyDescent="0.25">
      <c r="A42" s="3" t="s">
        <v>16</v>
      </c>
      <c r="B42" s="3">
        <f>B41*B23</f>
        <v>9.6813805041653147</v>
      </c>
    </row>
    <row r="43" spans="1:22" x14ac:dyDescent="0.25">
      <c r="A43" s="3" t="s">
        <v>25</v>
      </c>
      <c r="B43" s="3">
        <f>B39/B42</f>
        <v>0.90064415237535478</v>
      </c>
    </row>
    <row r="44" spans="1:22" x14ac:dyDescent="0.25">
      <c r="K44" t="s">
        <v>39</v>
      </c>
    </row>
  </sheetData>
  <mergeCells count="1">
    <mergeCell ref="E16:J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"/>
  <sheetViews>
    <sheetView zoomScale="85" zoomScaleNormal="85" workbookViewId="0">
      <selection activeCell="U3" sqref="U3"/>
    </sheetView>
  </sheetViews>
  <sheetFormatPr defaultRowHeight="15" x14ac:dyDescent="0.25"/>
  <cols>
    <col min="2" max="2" width="11.5703125" bestFit="1" customWidth="1"/>
    <col min="10" max="10" width="11.7109375" bestFit="1" customWidth="1"/>
    <col min="18" max="18" width="12.5703125" bestFit="1" customWidth="1"/>
    <col min="23" max="23" width="10.42578125" bestFit="1" customWidth="1"/>
    <col min="24" max="24" width="15.5703125" bestFit="1" customWidth="1"/>
    <col min="26" max="26" width="24.85546875" bestFit="1" customWidth="1"/>
    <col min="27" max="27" width="22.42578125" bestFit="1" customWidth="1"/>
    <col min="28" max="28" width="12" bestFit="1" customWidth="1"/>
    <col min="30" max="30" width="12.5703125" bestFit="1" customWidth="1"/>
  </cols>
  <sheetData>
    <row r="1" spans="1:27" x14ac:dyDescent="0.25">
      <c r="A1" t="s">
        <v>40</v>
      </c>
      <c r="B1" t="s">
        <v>49</v>
      </c>
      <c r="C1" t="s">
        <v>42</v>
      </c>
      <c r="D1" t="s">
        <v>45</v>
      </c>
      <c r="E1" t="s">
        <v>43</v>
      </c>
      <c r="J1" t="s">
        <v>48</v>
      </c>
      <c r="L1" t="s">
        <v>51</v>
      </c>
      <c r="M1" t="s">
        <v>50</v>
      </c>
      <c r="N1" t="s">
        <v>56</v>
      </c>
      <c r="P1" s="4" t="s">
        <v>52</v>
      </c>
      <c r="Q1" s="4"/>
      <c r="R1" s="4" t="s">
        <v>54</v>
      </c>
      <c r="T1" s="4" t="s">
        <v>55</v>
      </c>
      <c r="U1" s="4" t="s">
        <v>57</v>
      </c>
      <c r="W1" t="s">
        <v>58</v>
      </c>
      <c r="X1" t="s">
        <v>59</v>
      </c>
      <c r="Y1" t="s">
        <v>64</v>
      </c>
      <c r="Z1" t="s">
        <v>62</v>
      </c>
      <c r="AA1" t="s">
        <v>65</v>
      </c>
    </row>
    <row r="2" spans="1:27" x14ac:dyDescent="0.25">
      <c r="A2" t="s">
        <v>60</v>
      </c>
      <c r="B2" s="6">
        <v>44299</v>
      </c>
      <c r="C2">
        <v>1.95</v>
      </c>
      <c r="D2">
        <v>58</v>
      </c>
      <c r="E2">
        <v>13.13</v>
      </c>
      <c r="J2">
        <f>D2+G2</f>
        <v>58</v>
      </c>
      <c r="L2" s="7">
        <f>D2/C2</f>
        <v>29.743589743589745</v>
      </c>
      <c r="M2" s="7">
        <f>J2/L2</f>
        <v>1.95</v>
      </c>
      <c r="N2" s="7">
        <f>M2/60</f>
        <v>3.2500000000000001E-2</v>
      </c>
      <c r="P2">
        <f>D2*(E2/100)</f>
        <v>7.6154000000000002</v>
      </c>
      <c r="R2">
        <f t="shared" ref="R2:R8" si="0">SQRT((P2^2)+(Q2^2))</f>
        <v>7.6154000000000002</v>
      </c>
      <c r="T2">
        <f>R2/L2</f>
        <v>0.25603500000000001</v>
      </c>
      <c r="U2">
        <f>T2/60</f>
        <v>4.2672500000000002E-3</v>
      </c>
      <c r="W2">
        <v>3</v>
      </c>
      <c r="X2">
        <v>72.87</v>
      </c>
      <c r="Y2">
        <v>2.38</v>
      </c>
      <c r="Z2">
        <f t="shared" ref="Z2:Z8" si="1">N2/(X2/100)</f>
        <v>4.4599972553863047E-2</v>
      </c>
      <c r="AA2">
        <f>Z2*(SQRT(((U2/N2)^2)+((Y2/X2)^2)))</f>
        <v>6.0344314319155266E-3</v>
      </c>
    </row>
    <row r="3" spans="1:27" x14ac:dyDescent="0.25">
      <c r="A3" t="s">
        <v>60</v>
      </c>
      <c r="B3" s="6">
        <v>44300</v>
      </c>
      <c r="C3">
        <v>3.2</v>
      </c>
      <c r="D3">
        <v>95</v>
      </c>
      <c r="E3">
        <v>10.26</v>
      </c>
      <c r="J3">
        <f>D3+G3</f>
        <v>95</v>
      </c>
      <c r="L3" s="7">
        <f t="shared" ref="L3:L8" si="2">D3/C3</f>
        <v>29.6875</v>
      </c>
      <c r="M3" s="7">
        <f>J3/L3</f>
        <v>3.2</v>
      </c>
      <c r="N3" s="7">
        <f>M3/60</f>
        <v>5.3333333333333337E-2</v>
      </c>
      <c r="P3">
        <f>D3*(E3/100)</f>
        <v>9.7469999999999999</v>
      </c>
      <c r="R3">
        <f t="shared" si="0"/>
        <v>9.7469999999999999</v>
      </c>
      <c r="T3">
        <f t="shared" ref="T3:T8" si="3">R3/L3</f>
        <v>0.32832</v>
      </c>
      <c r="U3">
        <f>T3/60</f>
        <v>5.4720000000000003E-3</v>
      </c>
      <c r="W3">
        <v>3</v>
      </c>
      <c r="X3">
        <v>72.87</v>
      </c>
      <c r="Y3">
        <v>2.38</v>
      </c>
      <c r="Z3">
        <f t="shared" si="1"/>
        <v>7.31896985499291E-2</v>
      </c>
      <c r="AA3">
        <f t="shared" ref="AA3:AA8" si="4">Z3*(SQRT(((U3/N3)^2)+((Y3/X3)^2)))</f>
        <v>7.8805610918864476E-3</v>
      </c>
    </row>
    <row r="4" spans="1:27" x14ac:dyDescent="0.25">
      <c r="A4" t="s">
        <v>60</v>
      </c>
      <c r="B4" s="6">
        <v>44306</v>
      </c>
      <c r="C4">
        <v>1.24</v>
      </c>
      <c r="D4">
        <v>37</v>
      </c>
      <c r="E4">
        <v>16.440000000000001</v>
      </c>
      <c r="J4">
        <f t="shared" ref="J4:J8" si="5">D4+G4</f>
        <v>37</v>
      </c>
      <c r="L4" s="7">
        <f t="shared" si="2"/>
        <v>29.838709677419356</v>
      </c>
      <c r="M4" s="7">
        <f t="shared" ref="M4:M8" si="6">J4/L4</f>
        <v>1.24</v>
      </c>
      <c r="N4" s="7">
        <f t="shared" ref="N4:N8" si="7">M4/60</f>
        <v>2.0666666666666667E-2</v>
      </c>
      <c r="P4">
        <f t="shared" ref="P4:P8" si="8">D4*(E4/100)</f>
        <v>6.0828000000000007</v>
      </c>
      <c r="R4">
        <f t="shared" si="0"/>
        <v>6.0828000000000007</v>
      </c>
      <c r="T4">
        <f t="shared" si="3"/>
        <v>0.20385600000000001</v>
      </c>
      <c r="U4">
        <f t="shared" ref="U4:U8" si="9">T4/60</f>
        <v>3.3976000000000002E-3</v>
      </c>
      <c r="W4">
        <v>3</v>
      </c>
      <c r="X4">
        <v>72.87</v>
      </c>
      <c r="Y4">
        <v>2.38</v>
      </c>
      <c r="Z4">
        <f t="shared" si="1"/>
        <v>2.8361008188097524E-2</v>
      </c>
      <c r="AA4">
        <f t="shared" si="4"/>
        <v>4.7536717038622299E-3</v>
      </c>
    </row>
    <row r="5" spans="1:27" x14ac:dyDescent="0.25">
      <c r="A5" t="s">
        <v>60</v>
      </c>
      <c r="B5" s="6">
        <v>44309</v>
      </c>
      <c r="C5">
        <v>1.01</v>
      </c>
      <c r="D5">
        <v>30</v>
      </c>
      <c r="E5">
        <v>18.260000000000002</v>
      </c>
      <c r="J5">
        <f t="shared" si="5"/>
        <v>30</v>
      </c>
      <c r="L5" s="7">
        <f t="shared" si="2"/>
        <v>29.702970297029704</v>
      </c>
      <c r="M5" s="7">
        <f t="shared" si="6"/>
        <v>1.01</v>
      </c>
      <c r="N5" s="7">
        <f t="shared" si="7"/>
        <v>1.6833333333333332E-2</v>
      </c>
      <c r="P5">
        <f t="shared" si="8"/>
        <v>5.4780000000000006</v>
      </c>
      <c r="R5">
        <f t="shared" si="0"/>
        <v>5.4780000000000006</v>
      </c>
      <c r="T5">
        <f t="shared" si="3"/>
        <v>0.18442600000000001</v>
      </c>
      <c r="U5">
        <f t="shared" si="9"/>
        <v>3.0737666666666667E-3</v>
      </c>
      <c r="W5">
        <v>3</v>
      </c>
      <c r="X5">
        <v>72.87</v>
      </c>
      <c r="Y5">
        <v>2.38</v>
      </c>
      <c r="Z5">
        <f t="shared" si="1"/>
        <v>2.3100498604821371E-2</v>
      </c>
      <c r="AA5">
        <f t="shared" si="4"/>
        <v>4.28509545454354E-3</v>
      </c>
    </row>
    <row r="6" spans="1:27" x14ac:dyDescent="0.25">
      <c r="A6" t="s">
        <v>60</v>
      </c>
      <c r="B6" s="6">
        <v>44312</v>
      </c>
      <c r="C6">
        <v>1.34</v>
      </c>
      <c r="D6">
        <v>40</v>
      </c>
      <c r="E6">
        <v>15.81</v>
      </c>
      <c r="J6">
        <f t="shared" si="5"/>
        <v>40</v>
      </c>
      <c r="L6" s="7">
        <f t="shared" si="2"/>
        <v>29.850746268656714</v>
      </c>
      <c r="M6" s="7">
        <f t="shared" si="6"/>
        <v>1.34</v>
      </c>
      <c r="N6" s="7">
        <f t="shared" si="7"/>
        <v>2.2333333333333334E-2</v>
      </c>
      <c r="P6">
        <f t="shared" si="8"/>
        <v>6.3240000000000007</v>
      </c>
      <c r="R6">
        <f t="shared" si="0"/>
        <v>6.3240000000000007</v>
      </c>
      <c r="T6">
        <f t="shared" si="3"/>
        <v>0.21185400000000004</v>
      </c>
      <c r="U6">
        <f t="shared" si="9"/>
        <v>3.5309000000000009E-3</v>
      </c>
      <c r="W6">
        <v>3</v>
      </c>
      <c r="X6">
        <v>72.87</v>
      </c>
      <c r="Y6">
        <v>2.38</v>
      </c>
      <c r="Z6">
        <f t="shared" si="1"/>
        <v>3.0648186267782811E-2</v>
      </c>
      <c r="AA6">
        <f t="shared" si="4"/>
        <v>4.9477929758712531E-3</v>
      </c>
    </row>
    <row r="7" spans="1:27" x14ac:dyDescent="0.25">
      <c r="A7" t="s">
        <v>60</v>
      </c>
      <c r="B7" s="6">
        <v>44313</v>
      </c>
      <c r="C7">
        <v>1.1399999999999999</v>
      </c>
      <c r="D7">
        <v>34</v>
      </c>
      <c r="E7">
        <v>17.149999999999999</v>
      </c>
      <c r="J7">
        <f t="shared" si="5"/>
        <v>34</v>
      </c>
      <c r="L7" s="7">
        <f t="shared" si="2"/>
        <v>29.824561403508774</v>
      </c>
      <c r="M7" s="7">
        <f t="shared" si="6"/>
        <v>1.1399999999999999</v>
      </c>
      <c r="N7" s="7">
        <f t="shared" si="7"/>
        <v>1.9E-2</v>
      </c>
      <c r="P7">
        <f t="shared" si="8"/>
        <v>5.8309999999999995</v>
      </c>
      <c r="R7">
        <f t="shared" si="0"/>
        <v>5.8309999999999995</v>
      </c>
      <c r="T7">
        <f t="shared" si="3"/>
        <v>0.19550999999999996</v>
      </c>
      <c r="U7">
        <f t="shared" si="9"/>
        <v>3.2584999999999992E-3</v>
      </c>
      <c r="W7">
        <v>3</v>
      </c>
      <c r="X7">
        <v>72.87</v>
      </c>
      <c r="Y7">
        <v>2.38</v>
      </c>
      <c r="Z7">
        <f t="shared" si="1"/>
        <v>2.607383010841224E-2</v>
      </c>
      <c r="AA7">
        <f t="shared" si="4"/>
        <v>4.5520296117277084E-3</v>
      </c>
    </row>
    <row r="8" spans="1:27" x14ac:dyDescent="0.25">
      <c r="A8" t="s">
        <v>60</v>
      </c>
      <c r="B8" s="6">
        <v>44323</v>
      </c>
      <c r="C8">
        <v>1.51</v>
      </c>
      <c r="D8">
        <v>45</v>
      </c>
      <c r="E8">
        <v>14.91</v>
      </c>
      <c r="J8">
        <f t="shared" si="5"/>
        <v>45</v>
      </c>
      <c r="L8" s="7">
        <f t="shared" si="2"/>
        <v>29.801324503311257</v>
      </c>
      <c r="M8" s="7">
        <f t="shared" si="6"/>
        <v>1.51</v>
      </c>
      <c r="N8" s="7">
        <f t="shared" si="7"/>
        <v>2.5166666666666667E-2</v>
      </c>
      <c r="P8">
        <f t="shared" si="8"/>
        <v>6.7095000000000002</v>
      </c>
      <c r="R8">
        <f t="shared" si="0"/>
        <v>6.7095000000000002</v>
      </c>
      <c r="T8">
        <f t="shared" si="3"/>
        <v>0.22514100000000001</v>
      </c>
      <c r="U8">
        <f t="shared" si="9"/>
        <v>3.7523500000000002E-3</v>
      </c>
      <c r="W8">
        <v>3</v>
      </c>
      <c r="X8">
        <v>72.87</v>
      </c>
      <c r="Y8">
        <v>2.38</v>
      </c>
      <c r="Z8">
        <f t="shared" si="1"/>
        <v>3.4536389003247792E-2</v>
      </c>
      <c r="AA8">
        <f t="shared" si="4"/>
        <v>5.2714732025627847E-3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4"/>
  <sheetViews>
    <sheetView zoomScale="70" zoomScaleNormal="70" workbookViewId="0">
      <selection activeCell="E17" sqref="E17"/>
    </sheetView>
  </sheetViews>
  <sheetFormatPr defaultRowHeight="15" x14ac:dyDescent="0.25"/>
  <cols>
    <col min="1" max="4" width="13.85546875" customWidth="1"/>
    <col min="5" max="5" width="8.85546875" bestFit="1" customWidth="1"/>
    <col min="6" max="6" width="5" customWidth="1"/>
    <col min="7" max="7" width="4.140625" customWidth="1"/>
    <col min="8" max="8" width="5" customWidth="1"/>
    <col min="9" max="9" width="13" bestFit="1" customWidth="1"/>
    <col min="11" max="11" width="15.42578125" bestFit="1" customWidth="1"/>
    <col min="12" max="13" width="14.85546875" bestFit="1" customWidth="1"/>
    <col min="15" max="15" width="11.140625" bestFit="1" customWidth="1"/>
    <col min="16" max="16" width="4.85546875" customWidth="1"/>
    <col min="17" max="17" width="4" customWidth="1"/>
    <col min="18" max="18" width="3.85546875" customWidth="1"/>
    <col min="19" max="19" width="4.85546875" customWidth="1"/>
    <col min="20" max="21" width="14.85546875" bestFit="1" customWidth="1"/>
    <col min="22" max="22" width="11.5703125" bestFit="1" customWidth="1"/>
    <col min="23" max="23" width="16.85546875" bestFit="1" customWidth="1"/>
    <col min="24" max="24" width="12" bestFit="1" customWidth="1"/>
    <col min="25" max="25" width="26" bestFit="1" customWidth="1"/>
    <col min="26" max="27" width="23.42578125" bestFit="1" customWidth="1"/>
    <col min="29" max="29" width="14.85546875" bestFit="1" customWidth="1"/>
    <col min="30" max="30" width="15" bestFit="1" customWidth="1"/>
    <col min="32" max="32" width="23.42578125" bestFit="1" customWidth="1"/>
    <col min="33" max="33" width="23.5703125" bestFit="1" customWidth="1"/>
    <col min="34" max="34" width="17.28515625" bestFit="1" customWidth="1"/>
  </cols>
  <sheetData>
    <row r="1" spans="1:34" ht="15.75" thickBot="1" x14ac:dyDescent="0.3">
      <c r="A1" s="14" t="s">
        <v>40</v>
      </c>
      <c r="B1" s="15" t="s">
        <v>49</v>
      </c>
      <c r="C1" s="15" t="s">
        <v>42</v>
      </c>
      <c r="D1" s="15" t="s">
        <v>45</v>
      </c>
      <c r="E1" s="15" t="s">
        <v>43</v>
      </c>
      <c r="F1" s="15"/>
      <c r="G1" s="15"/>
      <c r="H1" s="15"/>
      <c r="I1" s="15" t="s">
        <v>48</v>
      </c>
      <c r="J1" s="15"/>
      <c r="K1" s="15" t="s">
        <v>51</v>
      </c>
      <c r="L1" s="15" t="s">
        <v>50</v>
      </c>
      <c r="M1" s="15" t="s">
        <v>56</v>
      </c>
      <c r="N1" s="15"/>
      <c r="O1" s="16" t="s">
        <v>83</v>
      </c>
      <c r="P1" s="16"/>
      <c r="Q1" s="15"/>
      <c r="R1" s="16"/>
      <c r="S1" s="15"/>
      <c r="T1" s="16" t="s">
        <v>55</v>
      </c>
      <c r="U1" s="16" t="s">
        <v>57</v>
      </c>
      <c r="V1" s="15" t="s">
        <v>58</v>
      </c>
      <c r="W1" s="15" t="s">
        <v>59</v>
      </c>
      <c r="X1" s="16" t="s">
        <v>64</v>
      </c>
      <c r="Y1" s="15" t="s">
        <v>62</v>
      </c>
      <c r="Z1" s="16" t="s">
        <v>65</v>
      </c>
      <c r="AA1" s="15" t="s">
        <v>61</v>
      </c>
      <c r="AB1" s="15"/>
      <c r="AC1" s="17" t="s">
        <v>63</v>
      </c>
      <c r="AD1" s="18" t="s">
        <v>66</v>
      </c>
      <c r="AF1" t="s">
        <v>79</v>
      </c>
      <c r="AG1" t="s">
        <v>80</v>
      </c>
      <c r="AH1" t="s">
        <v>76</v>
      </c>
    </row>
    <row r="2" spans="1:34" x14ac:dyDescent="0.25">
      <c r="A2" s="11" t="s">
        <v>41</v>
      </c>
      <c r="B2" s="12">
        <v>44299</v>
      </c>
      <c r="C2" s="11">
        <v>439.29</v>
      </c>
      <c r="D2" s="11">
        <v>13020</v>
      </c>
      <c r="E2" s="11">
        <v>0.88</v>
      </c>
      <c r="F2" s="11"/>
      <c r="G2" s="11"/>
      <c r="H2" s="11"/>
      <c r="I2" s="11">
        <f t="shared" ref="I2:I8" si="0">D2+G2</f>
        <v>13020</v>
      </c>
      <c r="J2" s="11"/>
      <c r="K2" s="13">
        <f t="shared" ref="K2:K8" si="1">D2/C2</f>
        <v>29.638735231851395</v>
      </c>
      <c r="L2" s="13">
        <f>I2/K2</f>
        <v>439.29</v>
      </c>
      <c r="M2" s="13">
        <f>L2/60</f>
        <v>7.3215000000000003</v>
      </c>
      <c r="N2" s="11"/>
      <c r="O2" s="11">
        <f>D2*(E2/100)</f>
        <v>114.57600000000001</v>
      </c>
      <c r="P2" s="11"/>
      <c r="Q2" s="11"/>
      <c r="R2" s="11"/>
      <c r="S2" s="11"/>
      <c r="T2" s="11">
        <f>O2/K2</f>
        <v>3.8657520000000005</v>
      </c>
      <c r="U2" s="11">
        <f>T2/60</f>
        <v>6.4429200000000006E-2</v>
      </c>
      <c r="V2" s="11">
        <v>3</v>
      </c>
      <c r="W2" s="11">
        <v>72.87</v>
      </c>
      <c r="X2" s="11">
        <v>2.38</v>
      </c>
      <c r="Y2" s="11">
        <f t="shared" ref="Y2:Y8" si="2">M2/(W2/100)</f>
        <v>10.047344586249485</v>
      </c>
      <c r="Z2" s="11">
        <f t="shared" ref="Z2:Z8" si="3">Y2*(SQRT(((U2/M2)^2)+((X2/W2)^2)))</f>
        <v>0.33985795923696444</v>
      </c>
      <c r="AA2" s="11">
        <f>Blk!Z2</f>
        <v>4.4599972553863047E-2</v>
      </c>
      <c r="AB2" s="11"/>
      <c r="AC2" s="11">
        <f>Y2-AA2</f>
        <v>10.002744613695622</v>
      </c>
      <c r="AD2">
        <f>SQRT((Z2^2)+(Blk!AA2^2))</f>
        <v>0.33991152792957857</v>
      </c>
      <c r="AF2">
        <f t="shared" ref="AF2:AF8" si="4">B2-B$2</f>
        <v>0</v>
      </c>
      <c r="AG2">
        <f>AF2*24*6*60</f>
        <v>0</v>
      </c>
      <c r="AH2">
        <f>AC2*(EXP(-AA$29*AF2))</f>
        <v>10.002744613695622</v>
      </c>
    </row>
    <row r="3" spans="1:34" x14ac:dyDescent="0.25">
      <c r="A3" s="8" t="s">
        <v>41</v>
      </c>
      <c r="B3" s="9">
        <v>44300</v>
      </c>
      <c r="C3" s="8">
        <v>440.66</v>
      </c>
      <c r="D3" s="8">
        <v>13061</v>
      </c>
      <c r="E3" s="8">
        <v>0.88</v>
      </c>
      <c r="F3" s="8"/>
      <c r="G3" s="8"/>
      <c r="H3" s="8"/>
      <c r="I3" s="8">
        <f t="shared" si="0"/>
        <v>13061</v>
      </c>
      <c r="J3" s="8"/>
      <c r="K3" s="10">
        <f t="shared" si="1"/>
        <v>29.639631461898059</v>
      </c>
      <c r="L3" s="10">
        <f>I3/K3</f>
        <v>440.66</v>
      </c>
      <c r="M3" s="10">
        <f>L3/60</f>
        <v>7.344333333333334</v>
      </c>
      <c r="N3" s="8"/>
      <c r="O3" s="8">
        <f t="shared" ref="O3:O8" si="5">D3*(E3/100)</f>
        <v>114.93680000000001</v>
      </c>
      <c r="P3" s="8"/>
      <c r="Q3" s="8"/>
      <c r="R3" s="8"/>
      <c r="S3" s="8"/>
      <c r="T3" s="11">
        <f t="shared" ref="T3:T8" si="6">O3/K3</f>
        <v>3.8778080000000004</v>
      </c>
      <c r="U3" s="8">
        <f>T3/60</f>
        <v>6.4630133333333339E-2</v>
      </c>
      <c r="V3" s="8">
        <v>3</v>
      </c>
      <c r="W3" s="8">
        <v>72.87</v>
      </c>
      <c r="X3" s="8">
        <v>2.38</v>
      </c>
      <c r="Y3" s="8">
        <f t="shared" si="2"/>
        <v>10.078678925941174</v>
      </c>
      <c r="Z3" s="11">
        <f t="shared" si="3"/>
        <v>0.34091786363759874</v>
      </c>
      <c r="AA3" s="8">
        <f>Blk!Z3</f>
        <v>7.31896985499291E-2</v>
      </c>
      <c r="AB3" s="8"/>
      <c r="AC3" s="8">
        <f t="shared" ref="AC3:AC8" si="7">Y3-AA3</f>
        <v>10.005489227391246</v>
      </c>
      <c r="AD3">
        <f>SQRT((Z3^2)+(Blk!AA3^2))</f>
        <v>0.34100893388641201</v>
      </c>
      <c r="AF3">
        <f t="shared" si="4"/>
        <v>1</v>
      </c>
      <c r="AG3">
        <f t="shared" ref="AG3:AG8" si="8">AF3*24*6*60</f>
        <v>8640</v>
      </c>
      <c r="AH3">
        <f t="shared" ref="AH3:AH8" si="9">AC3*(EXP(-AA$29*AF3))</f>
        <v>10.005489219757843</v>
      </c>
    </row>
    <row r="4" spans="1:34" x14ac:dyDescent="0.25">
      <c r="A4" s="8" t="s">
        <v>41</v>
      </c>
      <c r="B4" s="9">
        <v>44306</v>
      </c>
      <c r="C4" s="8">
        <v>442.35</v>
      </c>
      <c r="D4" s="8">
        <v>13111</v>
      </c>
      <c r="E4" s="8">
        <v>0.87</v>
      </c>
      <c r="F4" s="8"/>
      <c r="G4" s="8"/>
      <c r="H4" s="8"/>
      <c r="I4" s="8">
        <f t="shared" si="0"/>
        <v>13111</v>
      </c>
      <c r="J4" s="8"/>
      <c r="K4" s="10">
        <f t="shared" si="1"/>
        <v>29.639425794054482</v>
      </c>
      <c r="L4" s="10">
        <f t="shared" ref="L4:L8" si="10">I4/K4</f>
        <v>442.35</v>
      </c>
      <c r="M4" s="10">
        <f t="shared" ref="M4:M8" si="11">L4/60</f>
        <v>7.3725000000000005</v>
      </c>
      <c r="N4" s="8"/>
      <c r="O4" s="8">
        <f t="shared" si="5"/>
        <v>114.06569999999999</v>
      </c>
      <c r="P4" s="8"/>
      <c r="Q4" s="8"/>
      <c r="R4" s="8"/>
      <c r="S4" s="8"/>
      <c r="T4" s="11">
        <f t="shared" si="6"/>
        <v>3.8484449999999999</v>
      </c>
      <c r="U4" s="8">
        <f t="shared" ref="U4:U8" si="12">T4/60</f>
        <v>6.4140749999999996E-2</v>
      </c>
      <c r="V4" s="8">
        <v>3</v>
      </c>
      <c r="W4" s="8">
        <v>72.87</v>
      </c>
      <c r="X4" s="11">
        <v>2.38</v>
      </c>
      <c r="Y4" s="8">
        <f t="shared" si="2"/>
        <v>10.117332235487856</v>
      </c>
      <c r="Z4" s="11">
        <f t="shared" si="3"/>
        <v>0.34196352222107967</v>
      </c>
      <c r="AA4" s="8">
        <f>Blk!Z4</f>
        <v>2.8361008188097524E-2</v>
      </c>
      <c r="AB4" s="8"/>
      <c r="AC4" s="8">
        <f t="shared" si="7"/>
        <v>10.088971227299758</v>
      </c>
      <c r="AD4">
        <f>SQRT((Z4^2)+(Blk!AA4^2))</f>
        <v>0.34199656127586275</v>
      </c>
      <c r="AF4">
        <f t="shared" si="4"/>
        <v>7</v>
      </c>
      <c r="AG4">
        <f t="shared" si="8"/>
        <v>60480</v>
      </c>
      <c r="AH4">
        <f t="shared" si="9"/>
        <v>10.088971173420109</v>
      </c>
    </row>
    <row r="5" spans="1:34" x14ac:dyDescent="0.25">
      <c r="A5" s="8" t="s">
        <v>41</v>
      </c>
      <c r="B5" s="9">
        <v>44309</v>
      </c>
      <c r="C5" s="8">
        <v>441.74</v>
      </c>
      <c r="D5" s="8">
        <v>13093</v>
      </c>
      <c r="E5" s="8">
        <v>0.87</v>
      </c>
      <c r="F5" s="8"/>
      <c r="G5" s="8"/>
      <c r="H5" s="8"/>
      <c r="I5" s="8">
        <f t="shared" si="0"/>
        <v>13093</v>
      </c>
      <c r="J5" s="8"/>
      <c r="K5" s="10">
        <f t="shared" si="1"/>
        <v>29.639607008647619</v>
      </c>
      <c r="L5" s="10">
        <f t="shared" si="10"/>
        <v>441.74</v>
      </c>
      <c r="M5" s="10">
        <f t="shared" si="11"/>
        <v>7.3623333333333338</v>
      </c>
      <c r="N5" s="8"/>
      <c r="O5" s="8">
        <f t="shared" si="5"/>
        <v>113.9091</v>
      </c>
      <c r="P5" s="8"/>
      <c r="Q5" s="8"/>
      <c r="R5" s="8"/>
      <c r="S5" s="8"/>
      <c r="T5" s="11">
        <f t="shared" si="6"/>
        <v>3.8431380000000002</v>
      </c>
      <c r="U5" s="8">
        <f t="shared" si="12"/>
        <v>6.4052300000000006E-2</v>
      </c>
      <c r="V5" s="8">
        <v>3</v>
      </c>
      <c r="W5" s="8">
        <v>72.87</v>
      </c>
      <c r="X5" s="8">
        <v>2.38</v>
      </c>
      <c r="Y5" s="8">
        <f t="shared" si="2"/>
        <v>10.103380449201776</v>
      </c>
      <c r="Z5" s="11">
        <f t="shared" si="3"/>
        <v>0.34149195502642643</v>
      </c>
      <c r="AA5" s="8">
        <f>Blk!Z5</f>
        <v>2.3100498604821371E-2</v>
      </c>
      <c r="AB5" s="8"/>
      <c r="AC5" s="8">
        <f t="shared" si="7"/>
        <v>10.080279950596955</v>
      </c>
      <c r="AD5">
        <f>SQRT((Z5^2)+(Blk!AA5^2))</f>
        <v>0.34151883899841518</v>
      </c>
      <c r="AF5">
        <f t="shared" si="4"/>
        <v>10</v>
      </c>
      <c r="AG5">
        <f t="shared" si="8"/>
        <v>86400</v>
      </c>
      <c r="AH5">
        <f t="shared" si="9"/>
        <v>10.080279873692337</v>
      </c>
    </row>
    <row r="6" spans="1:34" x14ac:dyDescent="0.25">
      <c r="A6" s="8" t="s">
        <v>41</v>
      </c>
      <c r="B6" s="9">
        <v>44312</v>
      </c>
      <c r="C6" s="8">
        <v>442.11</v>
      </c>
      <c r="D6" s="8">
        <v>13104</v>
      </c>
      <c r="E6" s="8">
        <v>0.87</v>
      </c>
      <c r="F6" s="8"/>
      <c r="G6" s="8"/>
      <c r="H6" s="8"/>
      <c r="I6" s="8">
        <f t="shared" si="0"/>
        <v>13104</v>
      </c>
      <c r="J6" s="8"/>
      <c r="K6" s="10">
        <f t="shared" si="1"/>
        <v>29.639682431973942</v>
      </c>
      <c r="L6" s="10">
        <f t="shared" si="10"/>
        <v>442.11</v>
      </c>
      <c r="M6" s="10">
        <f t="shared" si="11"/>
        <v>7.3685</v>
      </c>
      <c r="N6" s="8"/>
      <c r="O6" s="8">
        <f t="shared" si="5"/>
        <v>114.00479999999999</v>
      </c>
      <c r="P6" s="8"/>
      <c r="Q6" s="8"/>
      <c r="R6" s="8"/>
      <c r="S6" s="8"/>
      <c r="T6" s="11">
        <f t="shared" si="6"/>
        <v>3.8463569999999998</v>
      </c>
      <c r="U6" s="8">
        <f t="shared" si="12"/>
        <v>6.4105949999999995E-2</v>
      </c>
      <c r="V6" s="8">
        <v>3</v>
      </c>
      <c r="W6" s="8">
        <v>72.87</v>
      </c>
      <c r="X6" s="11">
        <v>2.38</v>
      </c>
      <c r="Y6" s="8">
        <f t="shared" si="2"/>
        <v>10.11184300809661</v>
      </c>
      <c r="Z6" s="11">
        <f t="shared" si="3"/>
        <v>0.34177798758711769</v>
      </c>
      <c r="AA6" s="8">
        <f>Blk!Z6</f>
        <v>3.0648186267782811E-2</v>
      </c>
      <c r="AB6" s="8"/>
      <c r="AC6" s="8">
        <f t="shared" si="7"/>
        <v>10.081194821828827</v>
      </c>
      <c r="AD6">
        <f>SQRT((Z6^2)+(Blk!AA6^2))</f>
        <v>0.34181379939146994</v>
      </c>
      <c r="AF6">
        <f t="shared" si="4"/>
        <v>13</v>
      </c>
      <c r="AG6">
        <f t="shared" si="8"/>
        <v>112320</v>
      </c>
      <c r="AH6">
        <f t="shared" si="9"/>
        <v>10.081194721843749</v>
      </c>
    </row>
    <row r="7" spans="1:34" x14ac:dyDescent="0.25">
      <c r="A7" s="8" t="s">
        <v>41</v>
      </c>
      <c r="B7" s="9">
        <v>44313</v>
      </c>
      <c r="C7" s="8">
        <v>445.45</v>
      </c>
      <c r="D7" s="8">
        <v>13203</v>
      </c>
      <c r="E7" s="8">
        <v>0.87</v>
      </c>
      <c r="F7" s="8"/>
      <c r="G7" s="8"/>
      <c r="H7" s="8"/>
      <c r="I7" s="8">
        <f t="shared" si="0"/>
        <v>13203</v>
      </c>
      <c r="J7" s="8"/>
      <c r="K7" s="10">
        <f t="shared" si="1"/>
        <v>29.63969020092042</v>
      </c>
      <c r="L7" s="10">
        <f t="shared" si="10"/>
        <v>445.45</v>
      </c>
      <c r="M7" s="10">
        <f t="shared" si="11"/>
        <v>7.4241666666666664</v>
      </c>
      <c r="N7" s="8"/>
      <c r="O7" s="8">
        <f t="shared" si="5"/>
        <v>114.86609999999999</v>
      </c>
      <c r="P7" s="8"/>
      <c r="Q7" s="8"/>
      <c r="R7" s="8"/>
      <c r="S7" s="8"/>
      <c r="T7" s="11">
        <f t="shared" si="6"/>
        <v>3.8754149999999994</v>
      </c>
      <c r="U7" s="8">
        <f t="shared" si="12"/>
        <v>6.4590249999999988E-2</v>
      </c>
      <c r="V7" s="8">
        <v>3</v>
      </c>
      <c r="W7" s="8">
        <v>72.87</v>
      </c>
      <c r="X7" s="8">
        <v>2.38</v>
      </c>
      <c r="Y7" s="8">
        <f t="shared" si="2"/>
        <v>10.188234755958097</v>
      </c>
      <c r="Z7" s="11">
        <f t="shared" si="3"/>
        <v>0.34436001124308785</v>
      </c>
      <c r="AA7" s="8">
        <f>Blk!Z7</f>
        <v>2.607383010841224E-2</v>
      </c>
      <c r="AB7" s="8"/>
      <c r="AC7" s="8">
        <f t="shared" si="7"/>
        <v>10.162160925849685</v>
      </c>
      <c r="AD7">
        <f>SQRT((Z7^2)+(Blk!AA7^2))</f>
        <v>0.34439009613652605</v>
      </c>
      <c r="AF7">
        <f t="shared" si="4"/>
        <v>14</v>
      </c>
      <c r="AG7">
        <f t="shared" si="8"/>
        <v>120960</v>
      </c>
      <c r="AH7">
        <f t="shared" si="9"/>
        <v>10.162160817308658</v>
      </c>
    </row>
    <row r="8" spans="1:34" x14ac:dyDescent="0.25">
      <c r="A8" s="8" t="s">
        <v>41</v>
      </c>
      <c r="B8" s="9">
        <v>44323</v>
      </c>
      <c r="C8" s="8">
        <v>440.66</v>
      </c>
      <c r="D8" s="8">
        <v>13061</v>
      </c>
      <c r="E8" s="8">
        <v>0.88</v>
      </c>
      <c r="F8" s="8"/>
      <c r="G8" s="8"/>
      <c r="H8" s="8"/>
      <c r="I8" s="8">
        <f t="shared" si="0"/>
        <v>13061</v>
      </c>
      <c r="J8" s="8"/>
      <c r="K8" s="10">
        <f t="shared" si="1"/>
        <v>29.639631461898059</v>
      </c>
      <c r="L8" s="10">
        <f t="shared" si="10"/>
        <v>440.66</v>
      </c>
      <c r="M8" s="10">
        <f t="shared" si="11"/>
        <v>7.344333333333334</v>
      </c>
      <c r="N8" s="8"/>
      <c r="O8" s="8">
        <f t="shared" si="5"/>
        <v>114.93680000000001</v>
      </c>
      <c r="P8" s="8"/>
      <c r="Q8" s="8"/>
      <c r="R8" s="8"/>
      <c r="S8" s="8"/>
      <c r="T8" s="11">
        <f t="shared" si="6"/>
        <v>3.8778080000000004</v>
      </c>
      <c r="U8" s="8">
        <f t="shared" si="12"/>
        <v>6.4630133333333339E-2</v>
      </c>
      <c r="V8" s="8">
        <v>3</v>
      </c>
      <c r="W8" s="8">
        <v>72.87</v>
      </c>
      <c r="X8" s="11">
        <v>2.38</v>
      </c>
      <c r="Y8" s="8">
        <f t="shared" si="2"/>
        <v>10.078678925941174</v>
      </c>
      <c r="Z8" s="11">
        <f t="shared" si="3"/>
        <v>0.34091786363759874</v>
      </c>
      <c r="AA8" s="8">
        <f>Blk!Z8</f>
        <v>3.4536389003247792E-2</v>
      </c>
      <c r="AB8" s="8"/>
      <c r="AC8" s="8">
        <f t="shared" si="7"/>
        <v>10.044142536937926</v>
      </c>
      <c r="AD8">
        <f>SQRT((Z8^2)+(Blk!AA8^2))</f>
        <v>0.34095861651665249</v>
      </c>
      <c r="AF8">
        <f t="shared" si="4"/>
        <v>24</v>
      </c>
      <c r="AG8">
        <f t="shared" si="8"/>
        <v>207360</v>
      </c>
      <c r="AH8">
        <f t="shared" si="9"/>
        <v>10.044142353028523</v>
      </c>
    </row>
    <row r="9" spans="1:34" x14ac:dyDescent="0.25">
      <c r="B9" s="6"/>
      <c r="K9" s="7"/>
      <c r="L9" s="7"/>
      <c r="M9" s="7"/>
    </row>
    <row r="10" spans="1:34" x14ac:dyDescent="0.25">
      <c r="B10" s="6"/>
      <c r="K10" s="7"/>
      <c r="L10" s="7"/>
      <c r="M10" s="7"/>
      <c r="AB10" t="s">
        <v>68</v>
      </c>
      <c r="AC10">
        <f>AVERAGE(AC2:AC8)</f>
        <v>10.066426186228572</v>
      </c>
      <c r="AD10">
        <f>(SQRT((AD2^2)+(AD4^2)+(AD3^2)+(AD6^2)+(AD7^2)+(AD8^2)+(AD5^2)))</f>
        <v>0.90394562617085306</v>
      </c>
    </row>
    <row r="11" spans="1:34" x14ac:dyDescent="0.25">
      <c r="B11" s="6"/>
      <c r="K11" s="7"/>
      <c r="L11" s="7"/>
      <c r="M11" s="7"/>
    </row>
    <row r="12" spans="1:34" x14ac:dyDescent="0.25">
      <c r="B12" s="6"/>
      <c r="K12" s="7"/>
      <c r="L12" s="7"/>
      <c r="M12" s="7"/>
      <c r="AC12" t="s">
        <v>84</v>
      </c>
      <c r="AD12">
        <f>_xlfn.STDEV.P(AC2:AC8)</f>
        <v>5.1198040266918973E-2</v>
      </c>
    </row>
    <row r="14" spans="1:34" x14ac:dyDescent="0.25">
      <c r="E14" s="4" t="s">
        <v>73</v>
      </c>
    </row>
    <row r="15" spans="1:34" x14ac:dyDescent="0.25">
      <c r="A15" s="26" t="s">
        <v>67</v>
      </c>
      <c r="B15" s="26"/>
      <c r="C15" s="26"/>
      <c r="D15">
        <v>0.1027</v>
      </c>
      <c r="E15">
        <v>1E-4</v>
      </c>
    </row>
    <row r="16" spans="1:34" x14ac:dyDescent="0.25">
      <c r="A16" s="26" t="s">
        <v>74</v>
      </c>
      <c r="B16" s="26"/>
      <c r="C16" s="26"/>
      <c r="D16">
        <f>AC10/D15</f>
        <v>98.017781754903325</v>
      </c>
      <c r="E16">
        <f>D16*SQRT(((E15/D15)^2)+((AD12/AC10)^2))</f>
        <v>0.50757413615343261</v>
      </c>
    </row>
    <row r="24" spans="27:28" x14ac:dyDescent="0.25">
      <c r="AA24" t="s">
        <v>81</v>
      </c>
    </row>
    <row r="25" spans="27:28" x14ac:dyDescent="0.25">
      <c r="AA25">
        <v>28.79</v>
      </c>
      <c r="AB25" t="s">
        <v>77</v>
      </c>
    </row>
    <row r="26" spans="27:28" x14ac:dyDescent="0.25">
      <c r="AA26">
        <f>AA25*365.25*24*60*60</f>
        <v>908543304</v>
      </c>
      <c r="AB26" t="s">
        <v>78</v>
      </c>
    </row>
    <row r="28" spans="27:28" x14ac:dyDescent="0.25">
      <c r="AA28" t="s">
        <v>82</v>
      </c>
    </row>
    <row r="29" spans="27:28" x14ac:dyDescent="0.25">
      <c r="AA29">
        <f>(LN(2))/AA26</f>
        <v>7.6292145625669079E-10</v>
      </c>
    </row>
    <row r="34" spans="7:8" x14ac:dyDescent="0.25">
      <c r="G34" s="5"/>
      <c r="H34" s="5"/>
    </row>
  </sheetData>
  <mergeCells count="2">
    <mergeCell ref="A15:C15"/>
    <mergeCell ref="A16:C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abSelected="1" zoomScale="70" zoomScaleNormal="70" workbookViewId="0">
      <selection activeCell="L30" sqref="L30"/>
    </sheetView>
  </sheetViews>
  <sheetFormatPr defaultRowHeight="15" x14ac:dyDescent="0.25"/>
  <cols>
    <col min="1" max="1" width="8.7109375" bestFit="1" customWidth="1"/>
    <col min="2" max="2" width="11.5703125" bestFit="1" customWidth="1"/>
    <col min="3" max="3" width="14.85546875" customWidth="1"/>
    <col min="4" max="4" width="8.85546875" bestFit="1" customWidth="1"/>
    <col min="5" max="5" width="8.42578125" bestFit="1" customWidth="1"/>
    <col min="6" max="6" width="3.7109375" customWidth="1"/>
    <col min="7" max="7" width="4" customWidth="1"/>
    <col min="8" max="8" width="4.28515625" customWidth="1"/>
    <col min="9" max="9" width="13.140625" bestFit="1" customWidth="1"/>
    <col min="11" max="11" width="17" bestFit="1" customWidth="1"/>
    <col min="12" max="13" width="13" bestFit="1" customWidth="1"/>
    <col min="15" max="15" width="9.85546875" bestFit="1" customWidth="1"/>
    <col min="16" max="16" width="8.7109375" bestFit="1" customWidth="1"/>
    <col min="18" max="18" width="13.85546875" bestFit="1" customWidth="1"/>
    <col min="20" max="21" width="13" bestFit="1" customWidth="1"/>
    <col min="22" max="22" width="12" bestFit="1" customWidth="1"/>
    <col min="23" max="23" width="16.7109375" bestFit="1" customWidth="1"/>
    <col min="24" max="24" width="12.140625" bestFit="1" customWidth="1"/>
    <col min="25" max="25" width="26.7109375" bestFit="1" customWidth="1"/>
    <col min="26" max="26" width="24.140625" bestFit="1" customWidth="1"/>
    <col min="27" max="27" width="13" bestFit="1" customWidth="1"/>
    <col min="28" max="28" width="14.85546875" bestFit="1" customWidth="1"/>
    <col min="29" max="29" width="13.7109375" bestFit="1" customWidth="1"/>
    <col min="30" max="30" width="15" bestFit="1" customWidth="1"/>
  </cols>
  <sheetData>
    <row r="1" spans="1:30" ht="15.75" thickBot="1" x14ac:dyDescent="0.3">
      <c r="A1" s="14" t="s">
        <v>40</v>
      </c>
      <c r="B1" s="15" t="s">
        <v>49</v>
      </c>
      <c r="C1" s="15" t="s">
        <v>42</v>
      </c>
      <c r="D1" s="15" t="s">
        <v>45</v>
      </c>
      <c r="E1" s="15" t="s">
        <v>43</v>
      </c>
      <c r="F1" s="15"/>
      <c r="G1" s="15"/>
      <c r="H1" s="15"/>
      <c r="I1" s="15" t="s">
        <v>48</v>
      </c>
      <c r="J1" s="15"/>
      <c r="K1" s="15" t="s">
        <v>51</v>
      </c>
      <c r="L1" s="15" t="s">
        <v>50</v>
      </c>
      <c r="M1" s="15" t="s">
        <v>56</v>
      </c>
      <c r="N1" s="15"/>
      <c r="O1" s="16" t="s">
        <v>83</v>
      </c>
      <c r="P1" s="16"/>
      <c r="Q1" s="15"/>
      <c r="R1" s="16" t="s">
        <v>54</v>
      </c>
      <c r="S1" s="15"/>
      <c r="T1" s="16" t="s">
        <v>55</v>
      </c>
      <c r="U1" s="16" t="s">
        <v>57</v>
      </c>
      <c r="V1" s="15" t="s">
        <v>58</v>
      </c>
      <c r="W1" s="15" t="s">
        <v>59</v>
      </c>
      <c r="X1" s="16" t="s">
        <v>64</v>
      </c>
      <c r="Y1" s="15" t="s">
        <v>62</v>
      </c>
      <c r="Z1" s="16" t="s">
        <v>65</v>
      </c>
      <c r="AA1" s="20" t="s">
        <v>61</v>
      </c>
      <c r="AB1" s="22" t="s">
        <v>75</v>
      </c>
      <c r="AC1" s="21" t="s">
        <v>63</v>
      </c>
      <c r="AD1" s="25" t="s">
        <v>66</v>
      </c>
    </row>
    <row r="2" spans="1:30" x14ac:dyDescent="0.25">
      <c r="A2" s="8" t="s">
        <v>69</v>
      </c>
      <c r="B2" s="9">
        <v>44300</v>
      </c>
      <c r="C2" s="8">
        <v>381.85</v>
      </c>
      <c r="D2" s="8">
        <v>11318</v>
      </c>
      <c r="E2" s="8">
        <v>0.94</v>
      </c>
      <c r="F2" s="8"/>
      <c r="G2" s="8"/>
      <c r="H2" s="8"/>
      <c r="I2" s="11">
        <f t="shared" ref="I2:I7" si="0">D2+G2</f>
        <v>11318</v>
      </c>
      <c r="J2" s="8"/>
      <c r="K2" s="10">
        <f t="shared" ref="K2:K7" si="1">D2/C2</f>
        <v>29.639910959800968</v>
      </c>
      <c r="L2" s="10">
        <f>I2/K2</f>
        <v>381.85</v>
      </c>
      <c r="M2" s="10">
        <f>L2/60</f>
        <v>6.3641666666666667</v>
      </c>
      <c r="N2" s="8"/>
      <c r="O2" s="8">
        <f t="shared" ref="O2:O7" si="2">D2*(E2/100)</f>
        <v>106.38919999999999</v>
      </c>
      <c r="P2" s="8"/>
      <c r="Q2" s="8"/>
      <c r="R2" s="8">
        <f>SQRT((O2^2)+(P2^2))</f>
        <v>106.38919999999999</v>
      </c>
      <c r="S2" s="8"/>
      <c r="T2" s="8">
        <f>R2/K2</f>
        <v>3.5893899999999999</v>
      </c>
      <c r="U2" s="8">
        <f>T2/60</f>
        <v>5.9823166666666663E-2</v>
      </c>
      <c r="V2" s="8">
        <v>3</v>
      </c>
      <c r="W2" s="8">
        <v>72.87</v>
      </c>
      <c r="X2" s="8">
        <v>2.38</v>
      </c>
      <c r="Y2" s="8">
        <f t="shared" ref="Y2:Y7" si="3">M2/(W2/100)</f>
        <v>8.733589497278258</v>
      </c>
      <c r="Z2" s="11">
        <f t="shared" ref="Z2:Z7" si="4">Y2*(SQRT(((U2/M2)^2)+((X2/W2)^2)))</f>
        <v>0.2968257328123533</v>
      </c>
      <c r="AA2" s="23">
        <f>Blk!Z3</f>
        <v>7.31896985499291E-2</v>
      </c>
      <c r="AB2" s="11">
        <v>2.3384390076607909E-2</v>
      </c>
      <c r="AC2" s="24">
        <f t="shared" ref="AC2:AC7" si="5">Y2-AA2</f>
        <v>8.6603997987283297</v>
      </c>
      <c r="AD2">
        <f>SQRT((Z2^2)+(AB2^2))</f>
        <v>0.29774543717552671</v>
      </c>
    </row>
    <row r="3" spans="1:30" x14ac:dyDescent="0.25">
      <c r="A3" s="8" t="s">
        <v>69</v>
      </c>
      <c r="B3" s="9">
        <v>44306</v>
      </c>
      <c r="C3" s="8">
        <v>369.13</v>
      </c>
      <c r="D3" s="8">
        <v>10941</v>
      </c>
      <c r="E3" s="8">
        <v>0.96</v>
      </c>
      <c r="F3" s="8"/>
      <c r="G3" s="8"/>
      <c r="H3" s="8"/>
      <c r="I3" s="8">
        <f t="shared" si="0"/>
        <v>10941</v>
      </c>
      <c r="J3" s="8"/>
      <c r="K3" s="10">
        <f t="shared" si="1"/>
        <v>29.639964240240566</v>
      </c>
      <c r="L3" s="10">
        <f t="shared" ref="L3:L7" si="6">I3/K3</f>
        <v>369.13</v>
      </c>
      <c r="M3" s="10">
        <f t="shared" ref="M3:M7" si="7">L3/60</f>
        <v>6.152166666666667</v>
      </c>
      <c r="N3" s="8"/>
      <c r="O3" s="8">
        <f t="shared" si="2"/>
        <v>105.03359999999999</v>
      </c>
      <c r="P3" s="8"/>
      <c r="Q3" s="8"/>
      <c r="R3" s="8">
        <f t="shared" ref="R3:R7" si="8">SQRT((O3^2)+(P3^2))</f>
        <v>105.03359999999999</v>
      </c>
      <c r="S3" s="8"/>
      <c r="T3" s="8">
        <f t="shared" ref="T3:T7" si="9">R3/K3</f>
        <v>3.5436479999999997</v>
      </c>
      <c r="U3" s="8">
        <f t="shared" ref="U3:U7" si="10">T3/60</f>
        <v>5.9060799999999997E-2</v>
      </c>
      <c r="V3" s="8">
        <v>3</v>
      </c>
      <c r="W3" s="8">
        <v>72.87</v>
      </c>
      <c r="X3" s="11">
        <v>2.38</v>
      </c>
      <c r="Y3" s="8">
        <f t="shared" si="3"/>
        <v>8.4426604455422893</v>
      </c>
      <c r="Z3" s="11">
        <f t="shared" si="4"/>
        <v>0.2874096125802702</v>
      </c>
      <c r="AA3" s="23">
        <f>Blk!Z4</f>
        <v>2.8361008188097524E-2</v>
      </c>
      <c r="AB3" s="8">
        <v>2.2108984266006635E-2</v>
      </c>
      <c r="AC3" s="24">
        <f t="shared" si="5"/>
        <v>8.4142994373541917</v>
      </c>
      <c r="AD3">
        <f t="shared" ref="AD3:AD7" si="11">SQRT((Z3^2)+(AB3^2))</f>
        <v>0.28825872508705702</v>
      </c>
    </row>
    <row r="4" spans="1:30" x14ac:dyDescent="0.25">
      <c r="A4" s="8" t="s">
        <v>69</v>
      </c>
      <c r="B4" s="9">
        <v>44309</v>
      </c>
      <c r="C4" s="8">
        <v>375.71</v>
      </c>
      <c r="D4" s="8">
        <v>11136</v>
      </c>
      <c r="E4" s="8">
        <v>0.95</v>
      </c>
      <c r="F4" s="8"/>
      <c r="G4" s="8"/>
      <c r="H4" s="8"/>
      <c r="I4" s="8">
        <f t="shared" si="0"/>
        <v>11136</v>
      </c>
      <c r="J4" s="8"/>
      <c r="K4" s="10">
        <f t="shared" si="1"/>
        <v>29.639881823747039</v>
      </c>
      <c r="L4" s="10">
        <f t="shared" si="6"/>
        <v>375.71</v>
      </c>
      <c r="M4" s="10">
        <f t="shared" si="7"/>
        <v>6.2618333333333327</v>
      </c>
      <c r="N4" s="8"/>
      <c r="O4" s="8">
        <f t="shared" si="2"/>
        <v>105.792</v>
      </c>
      <c r="P4" s="8"/>
      <c r="Q4" s="8"/>
      <c r="R4" s="8">
        <f t="shared" si="8"/>
        <v>105.792</v>
      </c>
      <c r="S4" s="8"/>
      <c r="T4" s="8">
        <f t="shared" si="9"/>
        <v>3.569245</v>
      </c>
      <c r="U4" s="8">
        <f t="shared" si="10"/>
        <v>5.9487416666666668E-2</v>
      </c>
      <c r="V4" s="8">
        <v>3</v>
      </c>
      <c r="W4" s="8">
        <v>72.87</v>
      </c>
      <c r="X4" s="8">
        <v>2.38</v>
      </c>
      <c r="Y4" s="8">
        <f t="shared" si="3"/>
        <v>8.593156763185581</v>
      </c>
      <c r="Z4" s="11">
        <f t="shared" si="4"/>
        <v>0.29229172521541841</v>
      </c>
      <c r="AA4" s="23">
        <f>Blk!Z5</f>
        <v>2.3100498604821371E-2</v>
      </c>
      <c r="AB4" s="8">
        <v>2.1804214579081976E-2</v>
      </c>
      <c r="AC4" s="24">
        <f t="shared" si="5"/>
        <v>8.5700562645807601</v>
      </c>
      <c r="AD4">
        <f t="shared" si="11"/>
        <v>0.29310386623655499</v>
      </c>
    </row>
    <row r="5" spans="1:30" x14ac:dyDescent="0.25">
      <c r="A5" s="8" t="s">
        <v>69</v>
      </c>
      <c r="B5" s="9">
        <v>44312</v>
      </c>
      <c r="C5" s="8">
        <v>374.16</v>
      </c>
      <c r="D5" s="8">
        <v>11090</v>
      </c>
      <c r="E5" s="8">
        <v>0.95</v>
      </c>
      <c r="F5" s="8"/>
      <c r="G5" s="8"/>
      <c r="H5" s="8"/>
      <c r="I5" s="8">
        <f t="shared" si="0"/>
        <v>11090</v>
      </c>
      <c r="J5" s="8"/>
      <c r="K5" s="10">
        <f t="shared" si="1"/>
        <v>29.639726320290784</v>
      </c>
      <c r="L5" s="10">
        <f t="shared" si="6"/>
        <v>374.16</v>
      </c>
      <c r="M5" s="10">
        <f t="shared" si="7"/>
        <v>6.2360000000000007</v>
      </c>
      <c r="N5" s="8"/>
      <c r="O5" s="8">
        <f t="shared" si="2"/>
        <v>105.355</v>
      </c>
      <c r="P5" s="8"/>
      <c r="Q5" s="8"/>
      <c r="R5" s="8">
        <f t="shared" si="8"/>
        <v>105.355</v>
      </c>
      <c r="S5" s="8"/>
      <c r="T5" s="8">
        <f t="shared" si="9"/>
        <v>3.5545200000000001</v>
      </c>
      <c r="U5" s="8">
        <f t="shared" si="10"/>
        <v>5.9242000000000003E-2</v>
      </c>
      <c r="V5" s="8">
        <v>3</v>
      </c>
      <c r="W5" s="8">
        <v>72.87</v>
      </c>
      <c r="X5" s="11">
        <v>2.38</v>
      </c>
      <c r="Y5" s="8">
        <f t="shared" si="3"/>
        <v>8.5577055029504603</v>
      </c>
      <c r="Z5" s="11">
        <f t="shared" si="4"/>
        <v>0.29108586917197032</v>
      </c>
      <c r="AA5" s="23">
        <f>Blk!Z6</f>
        <v>3.0648186267782811E-2</v>
      </c>
      <c r="AB5" s="8">
        <v>2.1308285077603777E-2</v>
      </c>
      <c r="AC5" s="24">
        <f t="shared" si="5"/>
        <v>8.5270573166826775</v>
      </c>
      <c r="AD5">
        <f t="shared" si="11"/>
        <v>0.29186473963901477</v>
      </c>
    </row>
    <row r="6" spans="1:30" x14ac:dyDescent="0.25">
      <c r="A6" s="8" t="s">
        <v>69</v>
      </c>
      <c r="B6" s="9">
        <v>44313</v>
      </c>
      <c r="C6" s="8">
        <v>384.42</v>
      </c>
      <c r="D6" s="8">
        <v>11394</v>
      </c>
      <c r="E6" s="8">
        <v>0.94</v>
      </c>
      <c r="F6" s="8"/>
      <c r="G6" s="8"/>
      <c r="H6" s="8"/>
      <c r="I6" s="8">
        <f t="shared" si="0"/>
        <v>11394</v>
      </c>
      <c r="J6" s="8"/>
      <c r="K6" s="10">
        <f t="shared" si="1"/>
        <v>29.63945684407679</v>
      </c>
      <c r="L6" s="10">
        <f t="shared" si="6"/>
        <v>384.42</v>
      </c>
      <c r="M6" s="10">
        <f t="shared" si="7"/>
        <v>6.407</v>
      </c>
      <c r="N6" s="8"/>
      <c r="O6" s="8">
        <f t="shared" si="2"/>
        <v>107.10359999999999</v>
      </c>
      <c r="P6" s="8"/>
      <c r="Q6" s="8"/>
      <c r="R6" s="8">
        <f t="shared" si="8"/>
        <v>107.10359999999999</v>
      </c>
      <c r="S6" s="8"/>
      <c r="T6" s="8">
        <f t="shared" si="9"/>
        <v>3.6135479999999998</v>
      </c>
      <c r="U6" s="8">
        <f t="shared" si="10"/>
        <v>6.0225799999999996E-2</v>
      </c>
      <c r="V6" s="8">
        <v>3</v>
      </c>
      <c r="W6" s="8">
        <v>72.87</v>
      </c>
      <c r="X6" s="8">
        <v>2.38</v>
      </c>
      <c r="Y6" s="8">
        <f t="shared" si="3"/>
        <v>8.7923699739261689</v>
      </c>
      <c r="Z6" s="11">
        <f t="shared" si="4"/>
        <v>0.29882348620590504</v>
      </c>
      <c r="AA6" s="23">
        <f>Blk!Z7</f>
        <v>2.607383010841224E-2</v>
      </c>
      <c r="AB6" s="8">
        <v>2.1565829087249647E-2</v>
      </c>
      <c r="AC6" s="24">
        <f t="shared" si="5"/>
        <v>8.7662961438177565</v>
      </c>
      <c r="AD6">
        <f t="shared" si="11"/>
        <v>0.2996006690454332</v>
      </c>
    </row>
    <row r="7" spans="1:30" x14ac:dyDescent="0.25">
      <c r="A7" s="8" t="s">
        <v>69</v>
      </c>
      <c r="B7" s="9">
        <v>44323</v>
      </c>
      <c r="C7" s="8">
        <v>381.95</v>
      </c>
      <c r="D7" s="8">
        <v>11321</v>
      </c>
      <c r="E7" s="8">
        <v>0.94</v>
      </c>
      <c r="F7" s="8"/>
      <c r="G7" s="8"/>
      <c r="H7" s="8"/>
      <c r="I7" s="8">
        <f t="shared" si="0"/>
        <v>11321</v>
      </c>
      <c r="J7" s="8"/>
      <c r="K7" s="10">
        <f t="shared" si="1"/>
        <v>29.640005236287472</v>
      </c>
      <c r="L7" s="10">
        <f t="shared" si="6"/>
        <v>381.95</v>
      </c>
      <c r="M7" s="10">
        <f t="shared" si="7"/>
        <v>6.3658333333333328</v>
      </c>
      <c r="N7" s="8"/>
      <c r="O7" s="8">
        <f t="shared" si="2"/>
        <v>106.41739999999999</v>
      </c>
      <c r="P7" s="8"/>
      <c r="Q7" s="8"/>
      <c r="R7" s="8">
        <f t="shared" si="8"/>
        <v>106.41739999999999</v>
      </c>
      <c r="S7" s="8"/>
      <c r="T7" s="8">
        <f t="shared" si="9"/>
        <v>3.5903299999999998</v>
      </c>
      <c r="U7" s="8">
        <f t="shared" si="10"/>
        <v>5.9838833333333327E-2</v>
      </c>
      <c r="V7" s="8">
        <v>3</v>
      </c>
      <c r="W7" s="8">
        <v>72.87</v>
      </c>
      <c r="X7" s="11">
        <v>2.38</v>
      </c>
      <c r="Y7" s="8">
        <f t="shared" si="3"/>
        <v>8.7358766753579431</v>
      </c>
      <c r="Z7" s="11">
        <f t="shared" si="4"/>
        <v>0.29690346640743309</v>
      </c>
      <c r="AA7" s="23">
        <f>Blk!Z8</f>
        <v>3.4536389003247792E-2</v>
      </c>
      <c r="AB7" s="8">
        <v>2.2213563964465916E-2</v>
      </c>
      <c r="AC7" s="24">
        <f t="shared" si="5"/>
        <v>8.7013402863546947</v>
      </c>
      <c r="AD7">
        <f t="shared" si="11"/>
        <v>0.29773328800917298</v>
      </c>
    </row>
    <row r="8" spans="1:30" x14ac:dyDescent="0.25">
      <c r="I8" s="19"/>
    </row>
    <row r="10" spans="1:30" x14ac:dyDescent="0.25">
      <c r="AB10" t="s">
        <v>70</v>
      </c>
      <c r="AC10">
        <f>AVERAGE(AC2:AC7)</f>
        <v>8.6065748745864017</v>
      </c>
      <c r="AD10">
        <f>SQRT((AD3^2)+(AD4^2)+(AD6^2)+(AD7^2)+(AD5^2)+(AD2^2))</f>
        <v>0.72197369223279295</v>
      </c>
    </row>
    <row r="12" spans="1:30" x14ac:dyDescent="0.25">
      <c r="AC12" t="s">
        <v>85</v>
      </c>
      <c r="AD12">
        <f>_xlfn.STDEV.P(AC2:AC7)</f>
        <v>0.11691520019935185</v>
      </c>
    </row>
    <row r="14" spans="1:30" x14ac:dyDescent="0.25">
      <c r="E14" s="4" t="s">
        <v>73</v>
      </c>
    </row>
    <row r="15" spans="1:30" x14ac:dyDescent="0.25">
      <c r="A15" s="26" t="s">
        <v>67</v>
      </c>
      <c r="B15" s="26"/>
      <c r="C15" s="26"/>
      <c r="D15">
        <v>9.9000000000000005E-2</v>
      </c>
      <c r="E15">
        <v>1E-4</v>
      </c>
    </row>
    <row r="16" spans="1:30" x14ac:dyDescent="0.25">
      <c r="A16" s="26" t="s">
        <v>71</v>
      </c>
      <c r="B16" s="26"/>
      <c r="C16" s="26"/>
      <c r="D16">
        <f>D15*'Sr-90 clean solution'!D16</f>
        <v>9.7037603937354291</v>
      </c>
      <c r="E16">
        <f>D16*(SQRT(((E15/D15)^2)+(('Sr-90 clean solution'!E16/'Sr-90 clean solution'!D16)^2)))</f>
        <v>5.1196886849552314E-2</v>
      </c>
    </row>
    <row r="18" spans="1:5" x14ac:dyDescent="0.25">
      <c r="A18" s="26" t="s">
        <v>72</v>
      </c>
      <c r="B18" s="26"/>
      <c r="C18" s="26"/>
      <c r="D18">
        <f>AC10/D16</f>
        <v>0.88693192384909358</v>
      </c>
      <c r="E18">
        <f>D18*(SQRT(((E16/D16)^2)+((AD12/AC10)^2)))</f>
        <v>1.2925251147853921E-2</v>
      </c>
    </row>
  </sheetData>
  <mergeCells count="3">
    <mergeCell ref="A15:C15"/>
    <mergeCell ref="A16:C16"/>
    <mergeCell ref="A18:C1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zoomScale="70" zoomScaleNormal="70" workbookViewId="0">
      <selection activeCell="D16" sqref="D16"/>
    </sheetView>
  </sheetViews>
  <sheetFormatPr defaultRowHeight="15" x14ac:dyDescent="0.25"/>
  <cols>
    <col min="1" max="1" width="8.7109375" bestFit="1" customWidth="1"/>
    <col min="2" max="2" width="11.5703125" bestFit="1" customWidth="1"/>
    <col min="3" max="3" width="14.85546875" customWidth="1"/>
    <col min="4" max="4" width="8.85546875" bestFit="1" customWidth="1"/>
    <col min="5" max="5" width="8.42578125" bestFit="1" customWidth="1"/>
    <col min="6" max="6" width="6.5703125" bestFit="1" customWidth="1"/>
    <col min="7" max="7" width="8.85546875" bestFit="1" customWidth="1"/>
    <col min="8" max="8" width="8.42578125" bestFit="1" customWidth="1"/>
    <col min="9" max="9" width="13.140625" bestFit="1" customWidth="1"/>
    <col min="11" max="11" width="17" bestFit="1" customWidth="1"/>
    <col min="12" max="13" width="13" bestFit="1" customWidth="1"/>
    <col min="15" max="15" width="9.85546875" bestFit="1" customWidth="1"/>
    <col min="16" max="16" width="8.7109375" bestFit="1" customWidth="1"/>
    <col min="18" max="18" width="13.85546875" bestFit="1" customWidth="1"/>
    <col min="20" max="21" width="13" bestFit="1" customWidth="1"/>
    <col min="22" max="22" width="12" bestFit="1" customWidth="1"/>
    <col min="23" max="23" width="16.7109375" bestFit="1" customWidth="1"/>
    <col min="24" max="24" width="12.140625" bestFit="1" customWidth="1"/>
    <col min="25" max="25" width="26.7109375" bestFit="1" customWidth="1"/>
    <col min="26" max="26" width="24.140625" bestFit="1" customWidth="1"/>
    <col min="27" max="27" width="13" bestFit="1" customWidth="1"/>
    <col min="29" max="29" width="13.7109375" bestFit="1" customWidth="1"/>
  </cols>
  <sheetData>
    <row r="1" spans="1:30" ht="15.75" thickBot="1" x14ac:dyDescent="0.3">
      <c r="A1" s="14" t="s">
        <v>40</v>
      </c>
      <c r="B1" s="15" t="s">
        <v>49</v>
      </c>
      <c r="C1" s="15" t="s">
        <v>42</v>
      </c>
      <c r="D1" s="15" t="s">
        <v>45</v>
      </c>
      <c r="E1" s="15" t="s">
        <v>43</v>
      </c>
      <c r="F1" s="15" t="s">
        <v>44</v>
      </c>
      <c r="G1" s="15" t="s">
        <v>46</v>
      </c>
      <c r="H1" s="15" t="s">
        <v>47</v>
      </c>
      <c r="I1" s="15" t="s">
        <v>48</v>
      </c>
      <c r="J1" s="15"/>
      <c r="K1" s="15" t="s">
        <v>51</v>
      </c>
      <c r="L1" s="15" t="s">
        <v>50</v>
      </c>
      <c r="M1" s="15" t="s">
        <v>56</v>
      </c>
      <c r="N1" s="15"/>
      <c r="O1" s="16" t="s">
        <v>52</v>
      </c>
      <c r="P1" s="16" t="s">
        <v>53</v>
      </c>
      <c r="Q1" s="15"/>
      <c r="R1" s="16" t="s">
        <v>54</v>
      </c>
      <c r="S1" s="15"/>
      <c r="T1" s="16" t="s">
        <v>55</v>
      </c>
      <c r="U1" s="16" t="s">
        <v>57</v>
      </c>
      <c r="V1" s="15" t="s">
        <v>58</v>
      </c>
      <c r="W1" s="15" t="s">
        <v>59</v>
      </c>
      <c r="X1" s="16" t="s">
        <v>64</v>
      </c>
      <c r="Y1" s="15" t="s">
        <v>62</v>
      </c>
      <c r="Z1" s="16" t="s">
        <v>65</v>
      </c>
      <c r="AA1" s="15" t="s">
        <v>61</v>
      </c>
      <c r="AB1" s="15"/>
      <c r="AC1" s="17" t="s">
        <v>63</v>
      </c>
      <c r="AD1" s="18"/>
    </row>
    <row r="2" spans="1:30" x14ac:dyDescent="0.25">
      <c r="A2" s="8" t="s">
        <v>69</v>
      </c>
      <c r="B2" s="9">
        <v>44300</v>
      </c>
      <c r="C2" s="8">
        <v>381.85</v>
      </c>
      <c r="D2" s="8">
        <v>11318</v>
      </c>
      <c r="E2" s="8">
        <v>0.94</v>
      </c>
      <c r="F2" s="8">
        <v>16.02</v>
      </c>
      <c r="G2" s="8">
        <v>475</v>
      </c>
      <c r="H2" s="8">
        <v>4.59</v>
      </c>
      <c r="I2" s="11">
        <f t="shared" ref="I2:I7" si="0">D2+G2</f>
        <v>11793</v>
      </c>
      <c r="J2" s="8"/>
      <c r="K2" s="10">
        <f t="shared" ref="K2:K7" si="1">D2/C2</f>
        <v>29.639910959800968</v>
      </c>
      <c r="L2" s="10">
        <f>I2/K2</f>
        <v>397.87568916769749</v>
      </c>
      <c r="M2" s="10">
        <f>L2/60</f>
        <v>6.6312614861282917</v>
      </c>
      <c r="N2" s="8"/>
      <c r="O2" s="8">
        <f t="shared" ref="O2:O7" si="2">D2*(E2/100)</f>
        <v>106.38919999999999</v>
      </c>
      <c r="P2" s="8">
        <f t="shared" ref="P2:P7" si="3">G2*(H2/100)</f>
        <v>21.802499999999998</v>
      </c>
      <c r="Q2" s="8"/>
      <c r="R2" s="8">
        <f>SQRT((O2^2)+(P2^2))</f>
        <v>108.60023426719667</v>
      </c>
      <c r="S2" s="8"/>
      <c r="T2" s="8">
        <f>R2/K2</f>
        <v>3.6639865219057297</v>
      </c>
      <c r="U2" s="8">
        <f>T2/60</f>
        <v>6.1066442031762161E-2</v>
      </c>
      <c r="V2" s="8">
        <v>3</v>
      </c>
      <c r="W2" s="8">
        <v>72.87</v>
      </c>
      <c r="X2" s="8">
        <v>2.38</v>
      </c>
      <c r="Y2" s="8">
        <f t="shared" ref="Y2:Y7" si="4">M2/(W2/100)</f>
        <v>9.1001255470403351</v>
      </c>
      <c r="Z2" s="11">
        <f t="shared" ref="Z2:Z7" si="5">Y2*(SQRT(((U2/M2)^2)+((X2/W2)^2)))</f>
        <v>0.30880655137688884</v>
      </c>
      <c r="AA2" s="8">
        <f>Blk!Z3</f>
        <v>7.31896985499291E-2</v>
      </c>
      <c r="AB2" s="8"/>
      <c r="AC2" s="8">
        <f t="shared" ref="AC2:AC7" si="6">Y2-AA2</f>
        <v>9.0269358484904068</v>
      </c>
    </row>
    <row r="3" spans="1:30" x14ac:dyDescent="0.25">
      <c r="A3" s="8" t="s">
        <v>69</v>
      </c>
      <c r="B3" s="9">
        <v>44306</v>
      </c>
      <c r="C3" s="8">
        <v>369.13</v>
      </c>
      <c r="D3" s="8">
        <v>10941</v>
      </c>
      <c r="E3" s="8">
        <v>0.96</v>
      </c>
      <c r="F3" s="8">
        <v>16.899999999999999</v>
      </c>
      <c r="G3" s="8">
        <v>501</v>
      </c>
      <c r="H3" s="8">
        <v>4.47</v>
      </c>
      <c r="I3" s="8">
        <f t="shared" si="0"/>
        <v>11442</v>
      </c>
      <c r="J3" s="8"/>
      <c r="K3" s="10">
        <f t="shared" si="1"/>
        <v>29.639964240240566</v>
      </c>
      <c r="L3" s="10">
        <f t="shared" ref="L3:L7" si="7">I3/K3</f>
        <v>386.03285440087745</v>
      </c>
      <c r="M3" s="10">
        <f t="shared" ref="M3:M7" si="8">L3/60</f>
        <v>6.4338809066812912</v>
      </c>
      <c r="N3" s="8"/>
      <c r="O3" s="8">
        <f t="shared" si="2"/>
        <v>105.03359999999999</v>
      </c>
      <c r="P3" s="8">
        <f t="shared" si="3"/>
        <v>22.394699999999997</v>
      </c>
      <c r="Q3" s="8"/>
      <c r="R3" s="8">
        <f t="shared" ref="R3:R7" si="9">SQRT((O3^2)+(P3^2))</f>
        <v>107.39450505984931</v>
      </c>
      <c r="S3" s="8"/>
      <c r="T3" s="8">
        <f t="shared" ref="T3:T7" si="10">R3/K3</f>
        <v>3.6233007634349854</v>
      </c>
      <c r="U3" s="8">
        <f t="shared" ref="U3:U7" si="11">T3/60</f>
        <v>6.0388346057249756E-2</v>
      </c>
      <c r="V3" s="8">
        <v>3</v>
      </c>
      <c r="W3" s="8">
        <v>72.87</v>
      </c>
      <c r="X3" s="11">
        <v>2.38</v>
      </c>
      <c r="Y3" s="8">
        <f t="shared" si="4"/>
        <v>8.8292588262402791</v>
      </c>
      <c r="Z3" s="11">
        <f t="shared" si="5"/>
        <v>0.30004302882073752</v>
      </c>
      <c r="AA3" s="8">
        <f>Blk!Z4</f>
        <v>2.8361008188097524E-2</v>
      </c>
      <c r="AB3" s="8"/>
      <c r="AC3" s="8">
        <f t="shared" si="6"/>
        <v>8.8008978180521815</v>
      </c>
    </row>
    <row r="4" spans="1:30" x14ac:dyDescent="0.25">
      <c r="A4" s="8" t="s">
        <v>69</v>
      </c>
      <c r="B4" s="9">
        <v>44309</v>
      </c>
      <c r="C4" s="8">
        <v>375.71</v>
      </c>
      <c r="D4" s="8">
        <v>11136</v>
      </c>
      <c r="E4" s="8">
        <v>0.95</v>
      </c>
      <c r="F4" s="8">
        <v>14.84</v>
      </c>
      <c r="G4" s="8">
        <v>440</v>
      </c>
      <c r="H4" s="8">
        <v>4.7699999999999996</v>
      </c>
      <c r="I4" s="8">
        <f t="shared" si="0"/>
        <v>11576</v>
      </c>
      <c r="J4" s="8"/>
      <c r="K4" s="10">
        <f t="shared" si="1"/>
        <v>29.639881823747039</v>
      </c>
      <c r="L4" s="10">
        <f t="shared" si="7"/>
        <v>390.55486350574711</v>
      </c>
      <c r="M4" s="10">
        <f t="shared" si="8"/>
        <v>6.5092477250957854</v>
      </c>
      <c r="N4" s="8"/>
      <c r="O4" s="8">
        <f t="shared" si="2"/>
        <v>105.792</v>
      </c>
      <c r="P4" s="8">
        <f t="shared" si="3"/>
        <v>20.987999999999996</v>
      </c>
      <c r="Q4" s="8"/>
      <c r="R4" s="8">
        <f t="shared" si="9"/>
        <v>107.85380571866716</v>
      </c>
      <c r="S4" s="8"/>
      <c r="T4" s="8">
        <f t="shared" si="10"/>
        <v>3.6388068737931429</v>
      </c>
      <c r="U4" s="8">
        <f t="shared" si="11"/>
        <v>6.0646781229885718E-2</v>
      </c>
      <c r="V4" s="8">
        <v>3</v>
      </c>
      <c r="W4" s="8">
        <v>72.87</v>
      </c>
      <c r="X4" s="8">
        <v>2.38</v>
      </c>
      <c r="Y4" s="8">
        <f t="shared" si="4"/>
        <v>8.9326852272482302</v>
      </c>
      <c r="Z4" s="11">
        <f t="shared" si="5"/>
        <v>0.30338815885445636</v>
      </c>
      <c r="AA4" s="8">
        <f>Blk!Z5</f>
        <v>2.3100498604821371E-2</v>
      </c>
      <c r="AB4" s="8"/>
      <c r="AC4" s="8">
        <f t="shared" si="6"/>
        <v>8.9095847286434093</v>
      </c>
    </row>
    <row r="5" spans="1:30" x14ac:dyDescent="0.25">
      <c r="A5" s="8" t="s">
        <v>69</v>
      </c>
      <c r="B5" s="9">
        <v>44312</v>
      </c>
      <c r="C5" s="8">
        <v>374.16</v>
      </c>
      <c r="D5" s="8">
        <v>11090</v>
      </c>
      <c r="E5" s="8">
        <v>0.95</v>
      </c>
      <c r="F5" s="8">
        <v>17.13</v>
      </c>
      <c r="G5" s="8">
        <v>508</v>
      </c>
      <c r="H5" s="8">
        <v>4.4400000000000004</v>
      </c>
      <c r="I5" s="8">
        <f t="shared" si="0"/>
        <v>11598</v>
      </c>
      <c r="J5" s="8"/>
      <c r="K5" s="10">
        <f t="shared" si="1"/>
        <v>29.639726320290784</v>
      </c>
      <c r="L5" s="10">
        <f t="shared" si="7"/>
        <v>391.29915960324615</v>
      </c>
      <c r="M5" s="10">
        <f t="shared" si="8"/>
        <v>6.5216526600541025</v>
      </c>
      <c r="N5" s="8"/>
      <c r="O5" s="8">
        <f t="shared" si="2"/>
        <v>105.355</v>
      </c>
      <c r="P5" s="8">
        <f t="shared" si="3"/>
        <v>22.555199999999999</v>
      </c>
      <c r="Q5" s="8"/>
      <c r="R5" s="8">
        <f t="shared" si="9"/>
        <v>107.74234577008244</v>
      </c>
      <c r="S5" s="8"/>
      <c r="T5" s="8">
        <f t="shared" si="10"/>
        <v>3.6350654727983809</v>
      </c>
      <c r="U5" s="8">
        <f t="shared" si="11"/>
        <v>6.0584424546639683E-2</v>
      </c>
      <c r="V5" s="8">
        <v>3</v>
      </c>
      <c r="W5" s="8">
        <v>72.87</v>
      </c>
      <c r="X5" s="11">
        <v>2.38</v>
      </c>
      <c r="Y5" s="8">
        <f t="shared" si="4"/>
        <v>8.9497086044381806</v>
      </c>
      <c r="Z5" s="11">
        <f t="shared" si="5"/>
        <v>0.30389944477621078</v>
      </c>
      <c r="AA5" s="8">
        <f>Blk!Z6</f>
        <v>3.0648186267782811E-2</v>
      </c>
      <c r="AB5" s="8"/>
      <c r="AC5" s="8">
        <f t="shared" si="6"/>
        <v>8.9190604181703979</v>
      </c>
    </row>
    <row r="6" spans="1:30" x14ac:dyDescent="0.25">
      <c r="A6" s="8" t="s">
        <v>69</v>
      </c>
      <c r="B6" s="9">
        <v>44313</v>
      </c>
      <c r="C6" s="8">
        <v>384.42</v>
      </c>
      <c r="D6" s="8">
        <v>11394</v>
      </c>
      <c r="E6" s="8">
        <v>0.94</v>
      </c>
      <c r="F6" s="8">
        <v>16.7</v>
      </c>
      <c r="G6" s="8">
        <v>495</v>
      </c>
      <c r="H6" s="8">
        <v>4.49</v>
      </c>
      <c r="I6" s="8">
        <f t="shared" si="0"/>
        <v>11889</v>
      </c>
      <c r="J6" s="8"/>
      <c r="K6" s="10">
        <f t="shared" si="1"/>
        <v>29.63945684407679</v>
      </c>
      <c r="L6" s="10">
        <f t="shared" si="7"/>
        <v>401.12071090047397</v>
      </c>
      <c r="M6" s="10">
        <f t="shared" si="8"/>
        <v>6.6853451816745659</v>
      </c>
      <c r="N6" s="8"/>
      <c r="O6" s="8">
        <f t="shared" si="2"/>
        <v>107.10359999999999</v>
      </c>
      <c r="P6" s="8">
        <f t="shared" si="3"/>
        <v>22.2255</v>
      </c>
      <c r="Q6" s="8"/>
      <c r="R6" s="8">
        <f t="shared" si="9"/>
        <v>109.38534629103661</v>
      </c>
      <c r="S6" s="8"/>
      <c r="T6" s="8">
        <f t="shared" si="10"/>
        <v>3.6905314043531945</v>
      </c>
      <c r="U6" s="8">
        <f t="shared" si="11"/>
        <v>6.1508856739219908E-2</v>
      </c>
      <c r="V6" s="8">
        <v>3</v>
      </c>
      <c r="W6" s="8">
        <v>72.87</v>
      </c>
      <c r="X6" s="8">
        <v>2.38</v>
      </c>
      <c r="Y6" s="8">
        <f t="shared" si="4"/>
        <v>9.1743449727934205</v>
      </c>
      <c r="Z6" s="11">
        <f t="shared" si="5"/>
        <v>0.31130442666677544</v>
      </c>
      <c r="AA6" s="8">
        <f>Blk!Z7</f>
        <v>2.607383010841224E-2</v>
      </c>
      <c r="AB6" s="8"/>
      <c r="AC6" s="8">
        <f t="shared" si="6"/>
        <v>9.1482711426850081</v>
      </c>
    </row>
    <row r="7" spans="1:30" x14ac:dyDescent="0.25">
      <c r="A7" s="8" t="s">
        <v>69</v>
      </c>
      <c r="B7" s="9">
        <v>44323</v>
      </c>
      <c r="C7" s="8">
        <v>381.95</v>
      </c>
      <c r="D7" s="8">
        <v>11321</v>
      </c>
      <c r="E7" s="8">
        <v>0.94</v>
      </c>
      <c r="F7" s="8">
        <v>14.87</v>
      </c>
      <c r="G7" s="8">
        <v>441</v>
      </c>
      <c r="H7" s="8">
        <v>4.76</v>
      </c>
      <c r="I7" s="8">
        <f t="shared" si="0"/>
        <v>11762</v>
      </c>
      <c r="J7" s="8"/>
      <c r="K7" s="10">
        <f t="shared" si="1"/>
        <v>29.640005236287472</v>
      </c>
      <c r="L7" s="10">
        <f t="shared" si="7"/>
        <v>396.82853988163589</v>
      </c>
      <c r="M7" s="10">
        <f t="shared" si="8"/>
        <v>6.613808998027265</v>
      </c>
      <c r="N7" s="8"/>
      <c r="O7" s="8">
        <f t="shared" si="2"/>
        <v>106.41739999999999</v>
      </c>
      <c r="P7" s="8">
        <f t="shared" si="3"/>
        <v>20.991599999999998</v>
      </c>
      <c r="Q7" s="8"/>
      <c r="R7" s="8">
        <f t="shared" si="9"/>
        <v>108.46801507043445</v>
      </c>
      <c r="S7" s="8"/>
      <c r="T7" s="8">
        <f t="shared" si="10"/>
        <v>3.6595140319894388</v>
      </c>
      <c r="U7" s="8">
        <f t="shared" si="11"/>
        <v>6.0991900533157312E-2</v>
      </c>
      <c r="V7" s="8">
        <v>3</v>
      </c>
      <c r="W7" s="8">
        <v>72.87</v>
      </c>
      <c r="X7" s="11">
        <v>2.38</v>
      </c>
      <c r="Y7" s="8">
        <f t="shared" si="4"/>
        <v>9.0761753781079531</v>
      </c>
      <c r="Z7" s="11">
        <f t="shared" si="5"/>
        <v>0.30802593245507304</v>
      </c>
      <c r="AA7" s="8">
        <f>Blk!Z8</f>
        <v>3.4536389003247792E-2</v>
      </c>
      <c r="AB7" s="8"/>
      <c r="AC7" s="8">
        <f t="shared" si="6"/>
        <v>9.0416389891047046</v>
      </c>
    </row>
    <row r="8" spans="1:30" x14ac:dyDescent="0.25">
      <c r="I8" s="19"/>
    </row>
    <row r="10" spans="1:30" x14ac:dyDescent="0.25">
      <c r="AB10" t="s">
        <v>70</v>
      </c>
      <c r="AC10">
        <f>AVERAGE(AC2:AC7)</f>
        <v>8.9743981575243517</v>
      </c>
    </row>
    <row r="14" spans="1:30" x14ac:dyDescent="0.25">
      <c r="E14" s="4" t="s">
        <v>73</v>
      </c>
    </row>
    <row r="15" spans="1:30" x14ac:dyDescent="0.25">
      <c r="A15" s="26" t="s">
        <v>67</v>
      </c>
      <c r="B15" s="26"/>
      <c r="C15" s="26"/>
      <c r="D15">
        <v>0.1013</v>
      </c>
      <c r="E15">
        <v>1E-4</v>
      </c>
    </row>
    <row r="16" spans="1:30" x14ac:dyDescent="0.25">
      <c r="A16" s="26" t="s">
        <v>71</v>
      </c>
      <c r="B16" s="26"/>
      <c r="C16" s="26"/>
      <c r="D16">
        <f>D15*'Sr-90 clean solution'!D16</f>
        <v>9.9292012917717063</v>
      </c>
    </row>
    <row r="18" spans="1:4" x14ac:dyDescent="0.25">
      <c r="A18" s="26" t="s">
        <v>72</v>
      </c>
      <c r="B18" s="26"/>
      <c r="C18" s="26"/>
      <c r="D18">
        <f>AC10/D16</f>
        <v>0.90383887825513254</v>
      </c>
    </row>
    <row r="38" spans="22:22" x14ac:dyDescent="0.25">
      <c r="V38">
        <f>440*0.88</f>
        <v>387.2</v>
      </c>
    </row>
  </sheetData>
  <mergeCells count="3">
    <mergeCell ref="A15:C15"/>
    <mergeCell ref="A16:C16"/>
    <mergeCell ref="A18:C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quick sr calcs</vt:lpstr>
      <vt:lpstr>Blk</vt:lpstr>
      <vt:lpstr>Sr-90 clean solution</vt:lpstr>
      <vt:lpstr>QT1</vt:lpstr>
      <vt:lpstr>QT2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2015-06-05T18:17:20Z</dcterms:created>
  <dcterms:modified xsi:type="dcterms:W3CDTF">2021-06-08T08:36:33Z</dcterms:modified>
</cp:coreProperties>
</file>